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84000-21684999\21684939\L\L\"/>
    </mc:Choice>
  </mc:AlternateContent>
  <xr:revisionPtr revIDLastSave="0" documentId="13_ncr:1_{9F64BAA4-CDD8-44A9-B7A9-1772ACB627EF}" xr6:coauthVersionLast="47" xr6:coauthVersionMax="47" xr10:uidLastSave="{00000000-0000-0000-0000-000000000000}"/>
  <bookViews>
    <workbookView xWindow="13290" yWindow="1770" windowWidth="35220" windowHeight="18135"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Application!$A$1:$AT$123</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60" i="9" l="1"/>
  <c r="C60" i="9"/>
  <c r="AC876" i="3"/>
  <c r="W852" i="3"/>
  <c r="W856" i="3"/>
  <c r="G98" i="4"/>
  <c r="E98" i="4" s="1"/>
  <c r="F30" i="4"/>
  <c r="E30" i="4" s="1"/>
  <c r="R30" i="4" s="1"/>
  <c r="S30" i="4" s="1"/>
  <c r="E43" i="25"/>
  <c r="E42" i="25"/>
  <c r="E584" i="6"/>
  <c r="E586" i="6"/>
  <c r="E582" i="6"/>
  <c r="C97" i="18"/>
  <c r="F93" i="18"/>
  <c r="F92" i="18"/>
  <c r="F91" i="18"/>
  <c r="F90" i="18"/>
  <c r="F89" i="18"/>
  <c r="F88" i="18"/>
  <c r="F87" i="18"/>
  <c r="C93" i="18"/>
  <c r="C92" i="18"/>
  <c r="C91" i="18"/>
  <c r="C90" i="18"/>
  <c r="C89" i="18"/>
  <c r="C88" i="18"/>
  <c r="C87" i="18"/>
  <c r="C86" i="18"/>
  <c r="C85" i="18"/>
  <c r="C83" i="18"/>
  <c r="C82" i="18"/>
  <c r="F85" i="18"/>
  <c r="F83" i="18"/>
  <c r="F82" i="18"/>
  <c r="C74" i="18"/>
  <c r="C73" i="18"/>
  <c r="C72" i="18"/>
  <c r="C71" i="18"/>
  <c r="C70" i="18"/>
  <c r="F67" i="18"/>
  <c r="F66" i="18"/>
  <c r="F65" i="18"/>
  <c r="F64" i="18"/>
  <c r="F63" i="18"/>
  <c r="C67" i="18"/>
  <c r="C66" i="18"/>
  <c r="C65" i="18"/>
  <c r="C64" i="18"/>
  <c r="C63" i="18"/>
  <c r="C59" i="18"/>
  <c r="C58" i="18"/>
  <c r="C57" i="18"/>
  <c r="C56" i="18"/>
  <c r="C55" i="18"/>
  <c r="C54" i="18"/>
  <c r="C51" i="18"/>
  <c r="C50" i="18"/>
  <c r="C49" i="18"/>
  <c r="C48" i="18"/>
  <c r="C47" i="18"/>
  <c r="C46" i="18"/>
  <c r="C45" i="18"/>
  <c r="F51" i="18"/>
  <c r="F50" i="18"/>
  <c r="F49" i="18"/>
  <c r="F48" i="18"/>
  <c r="F47" i="18"/>
  <c r="F46" i="18"/>
  <c r="F45" i="18"/>
  <c r="F42" i="18"/>
  <c r="F40" i="18"/>
  <c r="F36" i="18"/>
  <c r="F35" i="18"/>
  <c r="F34" i="18"/>
  <c r="F33" i="18"/>
  <c r="C42" i="18"/>
  <c r="C40" i="18"/>
  <c r="C36" i="18"/>
  <c r="C35" i="18"/>
  <c r="C34" i="18"/>
  <c r="C33" i="18"/>
  <c r="C28" i="18"/>
  <c r="C4" i="18"/>
  <c r="S94" i="4"/>
  <c r="S93" i="4"/>
  <c r="S92" i="4"/>
  <c r="S91" i="4"/>
  <c r="S90" i="4"/>
  <c r="S89" i="4"/>
  <c r="S88" i="4"/>
  <c r="S86" i="4"/>
  <c r="S84" i="4"/>
  <c r="S83" i="4"/>
  <c r="S68" i="4"/>
  <c r="S67" i="4"/>
  <c r="S66" i="4"/>
  <c r="S65" i="4"/>
  <c r="S64" i="4"/>
  <c r="S52" i="4"/>
  <c r="S51" i="4"/>
  <c r="S50" i="4"/>
  <c r="S49" i="4"/>
  <c r="S48" i="4"/>
  <c r="S47" i="4"/>
  <c r="S46" i="4"/>
  <c r="S43" i="4"/>
  <c r="S41" i="4"/>
  <c r="S37" i="4"/>
  <c r="S36" i="4"/>
  <c r="S35" i="4"/>
  <c r="S34"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4" i="4"/>
  <c r="AC873" i="3"/>
  <c r="O703" i="3"/>
  <c r="AG443" i="3"/>
  <c r="W866" i="3" l="1"/>
  <c r="W859" i="3"/>
  <c r="E20" i="9" s="1"/>
  <c r="G20" i="9" s="1"/>
  <c r="I20" i="9" s="1"/>
  <c r="K20" i="9" s="1"/>
  <c r="M20" i="9" s="1"/>
  <c r="O20" i="9" s="1"/>
  <c r="Q20" i="9" s="1"/>
  <c r="S20" i="9" s="1"/>
  <c r="U20" i="9" s="1"/>
  <c r="W20" i="9" s="1"/>
  <c r="Y20" i="9" s="1"/>
  <c r="AA20" i="9" s="1"/>
  <c r="AC20" i="9" s="1"/>
  <c r="AE20" i="9" s="1"/>
  <c r="AG20" i="9" s="1"/>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E15" i="9" s="1"/>
  <c r="G15" i="9" s="1"/>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08" i="3"/>
  <c r="AM707" i="3"/>
  <c r="AM706" i="3"/>
  <c r="AM705"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s="1"/>
  <c r="BE603" i="3"/>
  <c r="BG603" i="3"/>
  <c r="BE604" i="3"/>
  <c r="BG604" i="3" s="1"/>
  <c r="BE605" i="3"/>
  <c r="BG605" i="3"/>
  <c r="BE606" i="3"/>
  <c r="BG606" i="3"/>
  <c r="BE607" i="3"/>
  <c r="BG607" i="3" s="1"/>
  <c r="BE608" i="3"/>
  <c r="BG608" i="3" s="1"/>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5" i="6" s="1"/>
  <c r="AK688" i="6" s="1"/>
  <c r="T710" i="6" s="1"/>
  <c r="AF710" i="6" s="1"/>
  <c r="AO653" i="6"/>
  <c r="E50" i="25"/>
  <c r="AJ977" i="3"/>
  <c r="AG819" i="3"/>
  <c r="AF242" i="3"/>
  <c r="AJ1008" i="3"/>
  <c r="AF1009" i="3"/>
  <c r="AF1004" i="3"/>
  <c r="H4" i="10"/>
  <c r="I4" i="10"/>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O643" i="3" s="1"/>
  <c r="AM558" i="3" s="1"/>
  <c r="AM569" i="3"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C871" i="3" s="1"/>
  <c r="U17" i="28"/>
  <c r="R9" i="4"/>
  <c r="R4" i="4"/>
  <c r="R10" i="4"/>
  <c r="S10" i="4"/>
  <c r="R30" i="28"/>
  <c r="AC703" i="3"/>
  <c r="AC704" i="3"/>
  <c r="AM704" i="3" s="1"/>
  <c r="AC705" i="3"/>
  <c r="AC706" i="3"/>
  <c r="AC707" i="3"/>
  <c r="AC708" i="3"/>
  <c r="AC709" i="3"/>
  <c r="AM709" i="3" s="1"/>
  <c r="AC710" i="3"/>
  <c r="AM710" i="3" s="1"/>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c r="BI603" i="3"/>
  <c r="BK603" i="3" s="1"/>
  <c r="BI604" i="3"/>
  <c r="BK604" i="3"/>
  <c r="BI605" i="3"/>
  <c r="BK605" i="3" s="1"/>
  <c r="BI606" i="3"/>
  <c r="BK606" i="3"/>
  <c r="BI607" i="3"/>
  <c r="BK607" i="3" s="1"/>
  <c r="BI608" i="3"/>
  <c r="BK608" i="3" s="1"/>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s="1"/>
  <c r="B84" i="15"/>
  <c r="E84" i="15" s="1"/>
  <c r="C84" i="15"/>
  <c r="D84" i="15"/>
  <c r="B85" i="15"/>
  <c r="C85" i="15"/>
  <c r="D85" i="15"/>
  <c r="B86" i="15"/>
  <c r="C86" i="15"/>
  <c r="E86" i="15" s="1"/>
  <c r="D86" i="15"/>
  <c r="B87" i="15"/>
  <c r="C87" i="15"/>
  <c r="D87" i="15"/>
  <c r="B88" i="15"/>
  <c r="C88" i="15"/>
  <c r="E88" i="15" s="1"/>
  <c r="D88" i="15"/>
  <c r="B89" i="15"/>
  <c r="C89" i="15"/>
  <c r="E89" i="15" s="1"/>
  <c r="D89" i="15"/>
  <c r="B90" i="15"/>
  <c r="C90" i="15"/>
  <c r="E90" i="15" s="1"/>
  <c r="D90" i="15"/>
  <c r="B91" i="15"/>
  <c r="C91" i="15"/>
  <c r="E91" i="15" s="1"/>
  <c r="D91" i="15"/>
  <c r="B92" i="15"/>
  <c r="C92" i="15"/>
  <c r="E92" i="15" s="1"/>
  <c r="D92" i="15"/>
  <c r="B93" i="15"/>
  <c r="C93" i="15"/>
  <c r="D93" i="15"/>
  <c r="B94" i="15"/>
  <c r="C94" i="15"/>
  <c r="E94" i="15"/>
  <c r="D94" i="15"/>
  <c r="B95" i="15"/>
  <c r="C95" i="15"/>
  <c r="E95" i="15"/>
  <c r="D95" i="15"/>
  <c r="E85" i="15"/>
  <c r="E93" i="15"/>
  <c r="D83" i="15"/>
  <c r="C83" i="15"/>
  <c r="B83" i="15"/>
  <c r="B80" i="15"/>
  <c r="C80" i="15"/>
  <c r="D80" i="15"/>
  <c r="D79" i="15"/>
  <c r="C79" i="15"/>
  <c r="E79" i="15" s="1"/>
  <c r="B79" i="15"/>
  <c r="B73" i="15"/>
  <c r="C73" i="15"/>
  <c r="D73" i="15"/>
  <c r="B74" i="15"/>
  <c r="E74" i="15"/>
  <c r="C74" i="15"/>
  <c r="D74" i="15"/>
  <c r="B75" i="15"/>
  <c r="C75" i="15"/>
  <c r="E75" i="15"/>
  <c r="D75" i="15"/>
  <c r="B76" i="15"/>
  <c r="C76" i="15"/>
  <c r="D76" i="15"/>
  <c r="D72" i="15"/>
  <c r="C72" i="15"/>
  <c r="E72" i="15" s="1"/>
  <c r="B72" i="15"/>
  <c r="B66" i="15"/>
  <c r="C66" i="15"/>
  <c r="E66" i="15"/>
  <c r="D66" i="15"/>
  <c r="B67" i="15"/>
  <c r="C67" i="15"/>
  <c r="D67" i="15"/>
  <c r="B68" i="15"/>
  <c r="C68" i="15"/>
  <c r="E68" i="15"/>
  <c r="D68" i="15"/>
  <c r="B69" i="15"/>
  <c r="C69" i="15"/>
  <c r="D69" i="15"/>
  <c r="D65" i="15"/>
  <c r="C65" i="15"/>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E48" i="15" s="1"/>
  <c r="D48" i="15"/>
  <c r="B49" i="15"/>
  <c r="C49" i="15"/>
  <c r="E49" i="15"/>
  <c r="D49" i="15"/>
  <c r="B50" i="15"/>
  <c r="E50" i="15" s="1"/>
  <c r="C50" i="15"/>
  <c r="D50" i="15"/>
  <c r="B51" i="15"/>
  <c r="C51" i="15"/>
  <c r="D51" i="15"/>
  <c r="B52" i="15"/>
  <c r="C52" i="15"/>
  <c r="D52" i="15"/>
  <c r="B53" i="15"/>
  <c r="C53" i="15"/>
  <c r="E53" i="15" s="1"/>
  <c r="D53" i="15"/>
  <c r="D46" i="15"/>
  <c r="C46" i="15"/>
  <c r="B46" i="15"/>
  <c r="B44" i="15"/>
  <c r="C44" i="15"/>
  <c r="D44" i="15"/>
  <c r="B42" i="15"/>
  <c r="C42" i="15"/>
  <c r="D42" i="15"/>
  <c r="D41" i="15"/>
  <c r="C41" i="15"/>
  <c r="B41" i="15"/>
  <c r="B38" i="15"/>
  <c r="C38" i="15"/>
  <c r="E38" i="15"/>
  <c r="D38" i="15"/>
  <c r="B31" i="15"/>
  <c r="C31" i="15"/>
  <c r="D31" i="15"/>
  <c r="B32" i="15"/>
  <c r="C32" i="15"/>
  <c r="D32" i="15"/>
  <c r="B33" i="15"/>
  <c r="E33" i="15" s="1"/>
  <c r="C33" i="15"/>
  <c r="D33" i="15"/>
  <c r="B34" i="15"/>
  <c r="C34" i="15"/>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69" i="15"/>
  <c r="E56" i="15"/>
  <c r="E73" i="15"/>
  <c r="E22" i="15"/>
  <c r="E87" i="15"/>
  <c r="E67" i="15"/>
  <c r="E16" i="15"/>
  <c r="E7" i="15"/>
  <c r="E31" i="15"/>
  <c r="E51" i="15"/>
  <c r="E61" i="15"/>
  <c r="E14" i="15"/>
  <c r="E44" i="15"/>
  <c r="E21" i="15"/>
  <c r="B9" i="15"/>
  <c r="B13" i="15" s="1"/>
  <c r="E28" i="15"/>
  <c r="E8" i="15"/>
  <c r="E52" i="15"/>
  <c r="E19" i="15"/>
  <c r="E42" i="15"/>
  <c r="C12" i="15"/>
  <c r="B12" i="15"/>
  <c r="E6" i="15"/>
  <c r="E23" i="15"/>
  <c r="E41" i="15"/>
  <c r="C9" i="15"/>
  <c r="E9" i="15" s="1"/>
  <c r="E11" i="15"/>
  <c r="E46" i="15"/>
  <c r="E5" i="15"/>
  <c r="E35" i="15"/>
  <c r="E65" i="15"/>
  <c r="E30" i="15"/>
  <c r="E15" i="15"/>
  <c r="E10" i="15"/>
  <c r="E12" i="15"/>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B8" i="18" s="1"/>
  <c r="C11" i="4"/>
  <c r="C26" i="4"/>
  <c r="C38" i="4"/>
  <c r="B38" i="4" s="1"/>
  <c r="C42" i="4"/>
  <c r="C53" i="4"/>
  <c r="B52" i="18" s="1"/>
  <c r="C61" i="4"/>
  <c r="B61" i="4" s="1"/>
  <c r="C69" i="4"/>
  <c r="B69" i="4" s="1"/>
  <c r="C76" i="4"/>
  <c r="B76" i="4" s="1"/>
  <c r="C80" i="4"/>
  <c r="B79" i="18" s="1"/>
  <c r="C95" i="4"/>
  <c r="B95" i="4" s="1"/>
  <c r="C103" i="4"/>
  <c r="C104" i="15" s="1"/>
  <c r="E104" i="15" s="1"/>
  <c r="C66" i="25"/>
  <c r="Y20" i="5"/>
  <c r="AI20" i="5"/>
  <c r="S26" i="4"/>
  <c r="S69" i="4"/>
  <c r="E68" i="18" s="1"/>
  <c r="S95" i="4"/>
  <c r="E94" i="18" s="1"/>
  <c r="F25" i="18"/>
  <c r="F68" i="18"/>
  <c r="F94"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5" i="4"/>
  <c r="E80" i="4"/>
  <c r="F80" i="4"/>
  <c r="G80" i="4"/>
  <c r="H80" i="4"/>
  <c r="G76" i="4"/>
  <c r="F76" i="4"/>
  <c r="E76" i="4"/>
  <c r="B78" i="18"/>
  <c r="C78" i="18" s="1"/>
  <c r="E78" i="18"/>
  <c r="F78" i="18" s="1"/>
  <c r="H78" i="18"/>
  <c r="B79" i="4"/>
  <c r="B78" i="4"/>
  <c r="R79" i="4"/>
  <c r="S79" i="4" s="1"/>
  <c r="R78" i="4"/>
  <c r="S78"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F84" i="18" s="1"/>
  <c r="E83" i="18"/>
  <c r="E82" i="18"/>
  <c r="E77" i="18"/>
  <c r="F77" i="18" s="1"/>
  <c r="E67" i="18"/>
  <c r="E63" i="18"/>
  <c r="E51" i="18"/>
  <c r="E50" i="18"/>
  <c r="E49" i="18"/>
  <c r="E48" i="18"/>
  <c r="E47" i="18"/>
  <c r="E46" i="18"/>
  <c r="E45" i="18"/>
  <c r="E42" i="18"/>
  <c r="E40" i="18"/>
  <c r="E36" i="18"/>
  <c r="E34" i="18"/>
  <c r="E33" i="18"/>
  <c r="E29" i="18"/>
  <c r="F29" i="18" s="1"/>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B83" i="18"/>
  <c r="B82" i="18"/>
  <c r="B81" i="18"/>
  <c r="C81" i="18" s="1"/>
  <c r="C94" i="18" s="1"/>
  <c r="B77" i="18"/>
  <c r="C77" i="18" s="1"/>
  <c r="B74" i="18"/>
  <c r="B73" i="18"/>
  <c r="B72" i="18"/>
  <c r="B71" i="18"/>
  <c r="B70" i="18"/>
  <c r="B67" i="18"/>
  <c r="B63" i="18"/>
  <c r="B59" i="18"/>
  <c r="B58" i="18"/>
  <c r="B57" i="18"/>
  <c r="B56" i="18"/>
  <c r="B55" i="18"/>
  <c r="B54" i="18"/>
  <c r="B51" i="18"/>
  <c r="B50" i="18"/>
  <c r="B49" i="18"/>
  <c r="B48" i="18"/>
  <c r="B47" i="18"/>
  <c r="B46" i="18"/>
  <c r="B45" i="18"/>
  <c r="B44" i="18"/>
  <c r="C44" i="18" s="1"/>
  <c r="B42" i="18"/>
  <c r="B40" i="18"/>
  <c r="B39" i="18"/>
  <c r="C39" i="18" s="1"/>
  <c r="B36" i="18"/>
  <c r="B34" i="18"/>
  <c r="B33" i="18"/>
  <c r="B32" i="18"/>
  <c r="C32" i="18" s="1"/>
  <c r="B31" i="18"/>
  <c r="C31" i="18" s="1"/>
  <c r="B30" i="18"/>
  <c r="C30" i="18" s="1"/>
  <c r="B29" i="18"/>
  <c r="C29" i="18" s="1"/>
  <c r="B28" i="18"/>
  <c r="B26" i="18"/>
  <c r="B24" i="18"/>
  <c r="B23" i="18"/>
  <c r="B22" i="18"/>
  <c r="B21" i="18"/>
  <c r="B20" i="18"/>
  <c r="B19" i="18"/>
  <c r="B18" i="18"/>
  <c r="B17" i="18"/>
  <c r="B4" i="18"/>
  <c r="D102" i="18"/>
  <c r="C102" i="18"/>
  <c r="D94" i="18"/>
  <c r="D75" i="18"/>
  <c r="C75" i="18"/>
  <c r="D68" i="18"/>
  <c r="C68" i="18"/>
  <c r="D60" i="18"/>
  <c r="C60" i="18"/>
  <c r="D52" i="18"/>
  <c r="C52" i="18"/>
  <c r="D41" i="18"/>
  <c r="C41" i="18"/>
  <c r="D37" i="18"/>
  <c r="C37" i="18"/>
  <c r="C61" i="18" s="1"/>
  <c r="D25" i="18"/>
  <c r="C25" i="18"/>
  <c r="D11" i="18"/>
  <c r="C11" i="18"/>
  <c r="D8" i="18"/>
  <c r="C8" i="18"/>
  <c r="C12" i="18" s="1"/>
  <c r="AG517" i="6"/>
  <c r="AO652" i="6"/>
  <c r="AO651" i="6"/>
  <c r="AO650" i="6"/>
  <c r="AO649" i="6"/>
  <c r="AJ271" i="6"/>
  <c r="AJ256" i="6"/>
  <c r="AJ230" i="6"/>
  <c r="AJ218" i="6"/>
  <c r="AJ139" i="6"/>
  <c r="AG524" i="6"/>
  <c r="AG520" i="6"/>
  <c r="AG513" i="6"/>
  <c r="AG508" i="6"/>
  <c r="AG485" i="6"/>
  <c r="R98" i="4"/>
  <c r="R94" i="4"/>
  <c r="R82" i="4"/>
  <c r="R84" i="4"/>
  <c r="R85" i="4"/>
  <c r="S85" i="4" s="1"/>
  <c r="R86" i="4"/>
  <c r="R87" i="4"/>
  <c r="R88" i="4"/>
  <c r="R89" i="4"/>
  <c r="R90" i="4"/>
  <c r="R91" i="4"/>
  <c r="R92" i="4"/>
  <c r="R93" i="4"/>
  <c r="R60" i="4"/>
  <c r="R59" i="4"/>
  <c r="R58" i="4"/>
  <c r="R57" i="4"/>
  <c r="R56" i="4"/>
  <c r="R61" i="4" s="1"/>
  <c r="R52" i="4"/>
  <c r="R51" i="4"/>
  <c r="R50" i="4"/>
  <c r="R49" i="4"/>
  <c r="R48" i="4"/>
  <c r="R47" i="4"/>
  <c r="R46" i="4"/>
  <c r="R45" i="4"/>
  <c r="S45" i="4" s="1"/>
  <c r="S53" i="4" s="1"/>
  <c r="E52" i="18" s="1"/>
  <c r="R43" i="4"/>
  <c r="R41" i="4"/>
  <c r="R40" i="4"/>
  <c r="R37" i="4"/>
  <c r="R35" i="4"/>
  <c r="R34" i="4"/>
  <c r="R33" i="4"/>
  <c r="S33" i="4" s="1"/>
  <c r="E32" i="18" s="1"/>
  <c r="F32" i="18" s="1"/>
  <c r="R32" i="4"/>
  <c r="S32" i="4" s="1"/>
  <c r="E31" i="18" s="1"/>
  <c r="F31" i="18" s="1"/>
  <c r="R31" i="4"/>
  <c r="S31" i="4" s="1"/>
  <c r="R29"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G104" i="4" s="1"/>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B80" i="4"/>
  <c r="D12" i="4"/>
  <c r="B43" i="15"/>
  <c r="C43" i="15"/>
  <c r="E43" i="15" s="1"/>
  <c r="D43" i="15"/>
  <c r="G12" i="4"/>
  <c r="F12" i="4"/>
  <c r="B27" i="15"/>
  <c r="D27" i="15"/>
  <c r="C27" i="15"/>
  <c r="C81" i="15"/>
  <c r="B81" i="15"/>
  <c r="D81" i="15"/>
  <c r="B11" i="4"/>
  <c r="C77" i="15"/>
  <c r="T62" i="4"/>
  <c r="B11" i="18"/>
  <c r="G52" i="25"/>
  <c r="G53" i="25" s="1"/>
  <c r="AB47" i="26"/>
  <c r="I61" i="18"/>
  <c r="I95" i="18"/>
  <c r="I103" i="18"/>
  <c r="I105" i="18"/>
  <c r="J61" i="18"/>
  <c r="J95" i="18"/>
  <c r="J103" i="18"/>
  <c r="J105" i="18"/>
  <c r="K12" i="4"/>
  <c r="B42" i="4"/>
  <c r="J12" i="4"/>
  <c r="R11" i="4"/>
  <c r="R8" i="4"/>
  <c r="D12" i="15"/>
  <c r="G62" i="4"/>
  <c r="G96" i="4"/>
  <c r="D9" i="15"/>
  <c r="E12" i="4"/>
  <c r="M62" i="4"/>
  <c r="M96" i="4"/>
  <c r="M104" i="4"/>
  <c r="J62" i="4"/>
  <c r="J96" i="4" s="1"/>
  <c r="J104" i="4" s="1"/>
  <c r="O62" i="4"/>
  <c r="O96" i="4"/>
  <c r="O104" i="4"/>
  <c r="N62" i="4"/>
  <c r="N96" i="4"/>
  <c r="N104" i="4"/>
  <c r="D62" i="4"/>
  <c r="D96" i="4"/>
  <c r="D104" i="4"/>
  <c r="B75" i="18"/>
  <c r="R26" i="4"/>
  <c r="L62" i="4"/>
  <c r="L96" i="4"/>
  <c r="L104" i="4"/>
  <c r="H12" i="4"/>
  <c r="H11" i="18"/>
  <c r="Q62" i="4"/>
  <c r="Q96" i="4"/>
  <c r="Q104" i="4"/>
  <c r="K62" i="4"/>
  <c r="K96" i="4"/>
  <c r="K104" i="4"/>
  <c r="T96" i="4"/>
  <c r="H61" i="18"/>
  <c r="M12" i="4"/>
  <c r="D12" i="18"/>
  <c r="P62" i="4"/>
  <c r="P96" i="4"/>
  <c r="P104" i="4"/>
  <c r="G61" i="18"/>
  <c r="G95" i="18"/>
  <c r="G103" i="18"/>
  <c r="G105" i="18"/>
  <c r="D61" i="18"/>
  <c r="D95" i="18"/>
  <c r="D103" i="18"/>
  <c r="R12" i="4"/>
  <c r="D13" i="15"/>
  <c r="H95" i="18"/>
  <c r="T104" i="4"/>
  <c r="H103" i="18"/>
  <c r="T106" i="4"/>
  <c r="H105" i="18"/>
  <c r="AD11" i="5"/>
  <c r="AD23" i="5"/>
  <c r="AD26" i="5"/>
  <c r="AI11" i="27"/>
  <c r="AI11" i="26"/>
  <c r="AD11" i="27"/>
  <c r="AD11" i="26"/>
  <c r="T24" i="27"/>
  <c r="T24" i="26"/>
  <c r="C785" i="3"/>
  <c r="T7" i="5"/>
  <c r="O29" i="9"/>
  <c r="AP381" i="6"/>
  <c r="AQ381" i="6"/>
  <c r="CM641" i="3"/>
  <c r="BN641" i="3"/>
  <c r="U69" i="25"/>
  <c r="AC764" i="3"/>
  <c r="CH641" i="3"/>
  <c r="G67" i="25"/>
  <c r="BX641" i="3"/>
  <c r="AF709" i="6"/>
  <c r="Q581" i="6"/>
  <c r="W581" i="6"/>
  <c r="AC581" i="6" s="1"/>
  <c r="Q589" i="6"/>
  <c r="W589" i="6" s="1"/>
  <c r="G30" i="9"/>
  <c r="I30" i="9" s="1"/>
  <c r="K30" i="9" s="1"/>
  <c r="M30" i="9" s="1"/>
  <c r="O30" i="9" s="1"/>
  <c r="Q30" i="9" s="1"/>
  <c r="S30" i="9" s="1"/>
  <c r="U30" i="9" s="1"/>
  <c r="W30" i="9" s="1"/>
  <c r="Y30" i="9" s="1"/>
  <c r="AA30" i="9" s="1"/>
  <c r="AC30" i="9" s="1"/>
  <c r="AE30" i="9" s="1"/>
  <c r="AG30" i="9" s="1"/>
  <c r="AG446" i="3"/>
  <c r="AD27" i="27" s="1"/>
  <c r="AD28" i="27" s="1"/>
  <c r="Y20" i="27"/>
  <c r="Y22" i="27"/>
  <c r="AD20" i="27"/>
  <c r="AD22" i="27"/>
  <c r="AD23" i="27"/>
  <c r="AD26" i="27"/>
  <c r="AC784" i="3"/>
  <c r="BS653" i="3"/>
  <c r="BW654" i="3"/>
  <c r="CC653" i="3"/>
  <c r="CG654" i="3"/>
  <c r="CM653" i="3"/>
  <c r="CQ654" i="3"/>
  <c r="BS641" i="3"/>
  <c r="CS641" i="3" s="1"/>
  <c r="BN653" i="3"/>
  <c r="BR654" i="3"/>
  <c r="CH653" i="3"/>
  <c r="CL654" i="3"/>
  <c r="BX653" i="3"/>
  <c r="CB654" i="3"/>
  <c r="Q591" i="6"/>
  <c r="W591" i="6" s="1"/>
  <c r="AK540" i="6"/>
  <c r="AP368" i="6"/>
  <c r="AQ368" i="6"/>
  <c r="AS355" i="6" s="1"/>
  <c r="G26" i="9"/>
  <c r="I26" i="9" s="1"/>
  <c r="K26" i="9" s="1"/>
  <c r="M26" i="9" s="1"/>
  <c r="O26" i="9" s="1"/>
  <c r="Q26" i="9" s="1"/>
  <c r="S26" i="9" s="1"/>
  <c r="U26" i="9" s="1"/>
  <c r="W26" i="9" s="1"/>
  <c r="Y26" i="9" s="1"/>
  <c r="AA26" i="9" s="1"/>
  <c r="AC26" i="9" s="1"/>
  <c r="AE26" i="9" s="1"/>
  <c r="AG26" i="9" s="1"/>
  <c r="D100" i="25"/>
  <c r="D102" i="25"/>
  <c r="D104" i="25"/>
  <c r="D110" i="25"/>
  <c r="G38" i="25"/>
  <c r="Q585" i="6"/>
  <c r="W585" i="6" s="1"/>
  <c r="AC585" i="6" s="1"/>
  <c r="Q588" i="6"/>
  <c r="W588" i="6" s="1"/>
  <c r="AC588" i="6" s="1"/>
  <c r="T20" i="27"/>
  <c r="T22" i="27"/>
  <c r="T20" i="26"/>
  <c r="T22" i="26"/>
  <c r="Y20" i="26"/>
  <c r="Y22" i="26"/>
  <c r="AD20" i="26"/>
  <c r="AD22" i="26"/>
  <c r="AD23" i="26"/>
  <c r="AD26" i="26"/>
  <c r="AD7" i="5"/>
  <c r="AI20" i="27"/>
  <c r="AI22" i="27"/>
  <c r="AI23" i="27"/>
  <c r="AI26" i="27"/>
  <c r="AD67" i="5"/>
  <c r="B103" i="4"/>
  <c r="D104" i="15"/>
  <c r="B104" i="15"/>
  <c r="E27" i="15"/>
  <c r="U29" i="9"/>
  <c r="G29" i="9"/>
  <c r="W29" i="9"/>
  <c r="Y29" i="9"/>
  <c r="Q29" i="9"/>
  <c r="AC29" i="9"/>
  <c r="I16" i="9"/>
  <c r="K16" i="9" s="1"/>
  <c r="M16" i="9" s="1"/>
  <c r="O16" i="9" s="1"/>
  <c r="Q16" i="9" s="1"/>
  <c r="S16" i="9" s="1"/>
  <c r="U16" i="9" s="1"/>
  <c r="W16" i="9" s="1"/>
  <c r="Y16" i="9" s="1"/>
  <c r="AA16" i="9" s="1"/>
  <c r="AC16" i="9" s="1"/>
  <c r="AE16" i="9" s="1"/>
  <c r="AG16" i="9" s="1"/>
  <c r="CQ655" i="3"/>
  <c r="AJ999" i="3"/>
  <c r="O28" i="9" l="1"/>
  <c r="E35" i="9"/>
  <c r="E37" i="9" s="1"/>
  <c r="C79" i="18"/>
  <c r="S80" i="4"/>
  <c r="E79" i="18" s="1"/>
  <c r="F79" i="18"/>
  <c r="B54" i="15"/>
  <c r="E44" i="18"/>
  <c r="F44" i="18" s="1"/>
  <c r="F52" i="18" s="1"/>
  <c r="E81" i="15"/>
  <c r="E80" i="15"/>
  <c r="R80" i="4"/>
  <c r="R42" i="4"/>
  <c r="S40" i="4"/>
  <c r="S38" i="4"/>
  <c r="E37" i="18" s="1"/>
  <c r="E32" i="15"/>
  <c r="E30" i="18"/>
  <c r="F30" i="18" s="1"/>
  <c r="F37" i="18" s="1"/>
  <c r="B37" i="18"/>
  <c r="C39" i="15"/>
  <c r="B39" i="15"/>
  <c r="D39" i="15"/>
  <c r="R103" i="4"/>
  <c r="S98" i="4"/>
  <c r="S40" i="9"/>
  <c r="S43" i="9" s="1"/>
  <c r="AG40" i="9"/>
  <c r="AG43" i="9" s="1"/>
  <c r="E9" i="9"/>
  <c r="C95" i="18"/>
  <c r="C103" i="18" s="1"/>
  <c r="E83" i="15"/>
  <c r="I62" i="4"/>
  <c r="I96" i="4" s="1"/>
  <c r="I104" i="4" s="1"/>
  <c r="R95" i="4"/>
  <c r="D96" i="15"/>
  <c r="C96" i="15"/>
  <c r="B96" i="15"/>
  <c r="B94" i="18"/>
  <c r="R76" i="4"/>
  <c r="D77" i="15"/>
  <c r="B77" i="15"/>
  <c r="E77" i="15" s="1"/>
  <c r="R69" i="4"/>
  <c r="C70" i="15"/>
  <c r="E70" i="15" s="1"/>
  <c r="D70" i="15"/>
  <c r="B70" i="15"/>
  <c r="B68" i="18"/>
  <c r="B60" i="18"/>
  <c r="B62" i="15"/>
  <c r="D62" i="15"/>
  <c r="C62" i="15"/>
  <c r="B53" i="4"/>
  <c r="D54" i="15"/>
  <c r="C54" i="15"/>
  <c r="E54" i="15" s="1"/>
  <c r="R53" i="4"/>
  <c r="E62" i="4"/>
  <c r="E96" i="4" s="1"/>
  <c r="E104" i="4" s="1"/>
  <c r="R38" i="4"/>
  <c r="C62" i="4"/>
  <c r="B8" i="4"/>
  <c r="B12" i="4" s="1"/>
  <c r="C12" i="4"/>
  <c r="B12" i="18" s="1"/>
  <c r="C13" i="15"/>
  <c r="E13" i="15" s="1"/>
  <c r="AG28" i="9"/>
  <c r="K28" i="9"/>
  <c r="U28" i="9"/>
  <c r="I28" i="9"/>
  <c r="M28" i="9"/>
  <c r="Y28" i="9"/>
  <c r="AC28" i="9"/>
  <c r="AA28" i="9"/>
  <c r="AC870" i="3"/>
  <c r="AC872" i="3" s="1"/>
  <c r="AY738" i="3"/>
  <c r="AZ726" i="3" s="1"/>
  <c r="BA726" i="3" s="1"/>
  <c r="BG635" i="3"/>
  <c r="BE738" i="3"/>
  <c r="BF711" i="3" s="1"/>
  <c r="BG711" i="3" s="1"/>
  <c r="T738" i="3"/>
  <c r="C40" i="10" s="1"/>
  <c r="F594" i="6"/>
  <c r="C742" i="3"/>
  <c r="AZ197" i="6"/>
  <c r="BK635" i="3"/>
  <c r="BN634" i="3"/>
  <c r="L26" i="28" s="1"/>
  <c r="DH635" i="3"/>
  <c r="T610" i="6" s="1"/>
  <c r="AZ573" i="6" s="1"/>
  <c r="CS635" i="3"/>
  <c r="T613" i="6" s="1"/>
  <c r="AZ576" i="6" s="1"/>
  <c r="DM635" i="3"/>
  <c r="T609" i="6" s="1"/>
  <c r="AZ572" i="6" s="1"/>
  <c r="CM634" i="3"/>
  <c r="CQ635" i="3" s="1"/>
  <c r="DC635" i="3"/>
  <c r="T611" i="6" s="1"/>
  <c r="AZ574" i="6" s="1"/>
  <c r="CC634" i="3"/>
  <c r="CG635" i="3" s="1"/>
  <c r="BX634" i="3"/>
  <c r="O611" i="6" s="1"/>
  <c r="AO611" i="6" s="1"/>
  <c r="CX635" i="3"/>
  <c r="T612" i="6" s="1"/>
  <c r="DR635" i="3"/>
  <c r="T608" i="6" s="1"/>
  <c r="AZ571" i="6" s="1"/>
  <c r="BS634" i="3"/>
  <c r="O612" i="6" s="1"/>
  <c r="AO612" i="6" s="1"/>
  <c r="CH634" i="3"/>
  <c r="CH659" i="3" s="1"/>
  <c r="E43" i="9"/>
  <c r="W40" i="9"/>
  <c r="W43" i="9" s="1"/>
  <c r="AE40" i="9"/>
  <c r="AE43" i="9" s="1"/>
  <c r="K40" i="9"/>
  <c r="K43" i="9" s="1"/>
  <c r="AB47" i="5"/>
  <c r="AS357" i="6"/>
  <c r="AK474" i="6" s="1"/>
  <c r="T704" i="6" s="1"/>
  <c r="AO695" i="6" s="1"/>
  <c r="AI27" i="5"/>
  <c r="AI27" i="27"/>
  <c r="AI28" i="27" s="1"/>
  <c r="AD63" i="27" s="1"/>
  <c r="AD27" i="5"/>
  <c r="AD28" i="5" s="1"/>
  <c r="Y27" i="26"/>
  <c r="T27" i="26"/>
  <c r="AD27" i="26"/>
  <c r="AD28" i="26" s="1"/>
  <c r="T27" i="5"/>
  <c r="Y27" i="27"/>
  <c r="Y27" i="5"/>
  <c r="AI27" i="26"/>
  <c r="AI28" i="26" s="1"/>
  <c r="AD63" i="26" s="1"/>
  <c r="Q583" i="6"/>
  <c r="W583" i="6" s="1"/>
  <c r="AC583" i="6" s="1"/>
  <c r="T27" i="27"/>
  <c r="Y112" i="6"/>
  <c r="C67" i="25"/>
  <c r="AZ260" i="3"/>
  <c r="BO245" i="3" s="1"/>
  <c r="T269" i="3" s="1"/>
  <c r="T698" i="6"/>
  <c r="AF698" i="6" s="1"/>
  <c r="R970" i="3"/>
  <c r="R971" i="3"/>
  <c r="R973" i="3"/>
  <c r="R972" i="3"/>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G22" i="9"/>
  <c r="F40" i="10"/>
  <c r="I40" i="10"/>
  <c r="Z796" i="3" s="1"/>
  <c r="E22" i="9"/>
  <c r="AD63" i="5"/>
  <c r="AI7" i="5"/>
  <c r="AI11" i="5" s="1"/>
  <c r="AI23" i="5" s="1"/>
  <c r="AI26" i="5" s="1"/>
  <c r="AI28" i="5" s="1"/>
  <c r="AF1000" i="3"/>
  <c r="S42" i="4" l="1"/>
  <c r="E39" i="18"/>
  <c r="F39" i="18" s="1"/>
  <c r="F41" i="18" s="1"/>
  <c r="F61" i="18" s="1"/>
  <c r="F95" i="18" s="1"/>
  <c r="E39" i="15"/>
  <c r="S103" i="4"/>
  <c r="E102" i="18" s="1"/>
  <c r="E97" i="18"/>
  <c r="F97" i="18" s="1"/>
  <c r="F102" i="18" s="1"/>
  <c r="O8" i="9"/>
  <c r="I9" i="9"/>
  <c r="AC592" i="6"/>
  <c r="T707" i="6" s="1"/>
  <c r="AO698" i="6" s="1"/>
  <c r="E96" i="15"/>
  <c r="E62" i="15"/>
  <c r="R62" i="4"/>
  <c r="R96" i="4" s="1"/>
  <c r="R104" i="4" s="1"/>
  <c r="B62" i="4"/>
  <c r="D63" i="15"/>
  <c r="B61" i="18"/>
  <c r="C96" i="4"/>
  <c r="C63" i="15"/>
  <c r="B63" i="15"/>
  <c r="AZ735" i="3"/>
  <c r="BA735" i="3" s="1"/>
  <c r="BF709" i="3"/>
  <c r="BG709" i="3" s="1"/>
  <c r="BF710" i="3"/>
  <c r="BG710" i="3" s="1"/>
  <c r="AZ724" i="3"/>
  <c r="BA724" i="3" s="1"/>
  <c r="AZ709" i="3"/>
  <c r="BA709" i="3" s="1"/>
  <c r="AZ707" i="3"/>
  <c r="BA707" i="3" s="1"/>
  <c r="AZ705" i="3"/>
  <c r="BA705" i="3" s="1"/>
  <c r="AZ704" i="3"/>
  <c r="BA704" i="3" s="1"/>
  <c r="AZ708" i="3"/>
  <c r="BA708" i="3" s="1"/>
  <c r="AZ720" i="3"/>
  <c r="BA720" i="3" s="1"/>
  <c r="AZ706" i="3"/>
  <c r="BA706" i="3" s="1"/>
  <c r="AZ732" i="3"/>
  <c r="BA732" i="3" s="1"/>
  <c r="AZ737" i="3"/>
  <c r="BA737" i="3" s="1"/>
  <c r="AZ727" i="3"/>
  <c r="BA727" i="3" s="1"/>
  <c r="BF703" i="3"/>
  <c r="BG703" i="3" s="1"/>
  <c r="AZ703" i="3"/>
  <c r="BA703" i="3" s="1"/>
  <c r="AZ736" i="3"/>
  <c r="BA736" i="3" s="1"/>
  <c r="BF707" i="3"/>
  <c r="BG707" i="3" s="1"/>
  <c r="BF708" i="3"/>
  <c r="BG708" i="3" s="1"/>
  <c r="Y788" i="3"/>
  <c r="E4" i="9" s="1"/>
  <c r="G4" i="9" s="1"/>
  <c r="G5" i="9" s="1"/>
  <c r="AZ715" i="3"/>
  <c r="BA715" i="3" s="1"/>
  <c r="AZ719" i="3"/>
  <c r="BA719" i="3" s="1"/>
  <c r="AZ711" i="3"/>
  <c r="BA711" i="3" s="1"/>
  <c r="AZ723" i="3"/>
  <c r="BA723" i="3" s="1"/>
  <c r="AZ716" i="3"/>
  <c r="BA716" i="3" s="1"/>
  <c r="AZ722" i="3"/>
  <c r="BA722" i="3" s="1"/>
  <c r="AZ733" i="3"/>
  <c r="BA733" i="3" s="1"/>
  <c r="AZ725" i="3"/>
  <c r="BA725" i="3" s="1"/>
  <c r="AZ710" i="3"/>
  <c r="BA710" i="3" s="1"/>
  <c r="AZ714" i="3"/>
  <c r="BA714" i="3" s="1"/>
  <c r="AZ717" i="3"/>
  <c r="BA717" i="3" s="1"/>
  <c r="AZ721" i="3"/>
  <c r="BA721" i="3" s="1"/>
  <c r="Y787" i="3"/>
  <c r="AZ730" i="3"/>
  <c r="BA730" i="3" s="1"/>
  <c r="AZ713" i="3"/>
  <c r="BA713" i="3" s="1"/>
  <c r="AZ712" i="3"/>
  <c r="BA712" i="3" s="1"/>
  <c r="AZ734" i="3"/>
  <c r="BA734" i="3" s="1"/>
  <c r="AZ728" i="3"/>
  <c r="BA728" i="3" s="1"/>
  <c r="AZ731" i="3"/>
  <c r="BA731" i="3" s="1"/>
  <c r="AZ718" i="3"/>
  <c r="BA718" i="3" s="1"/>
  <c r="BF704" i="3"/>
  <c r="BG704" i="3" s="1"/>
  <c r="AZ729" i="3"/>
  <c r="BA729" i="3" s="1"/>
  <c r="BF705" i="3"/>
  <c r="BG705" i="3" s="1"/>
  <c r="BF706" i="3"/>
  <c r="BG706" i="3" s="1"/>
  <c r="AP534" i="6"/>
  <c r="BB584" i="6" s="1"/>
  <c r="BB588" i="6" s="1"/>
  <c r="BQ527" i="6"/>
  <c r="BQ531" i="6" s="1"/>
  <c r="L27" i="28"/>
  <c r="V27" i="28" s="1"/>
  <c r="BM526" i="6"/>
  <c r="BM531" i="6" s="1"/>
  <c r="BN659" i="3"/>
  <c r="AB969" i="3" s="1"/>
  <c r="AJ969" i="3" s="1"/>
  <c r="BR635" i="3"/>
  <c r="O613" i="6"/>
  <c r="AO613" i="6" s="1"/>
  <c r="Y613" i="6"/>
  <c r="CE530" i="6" s="1"/>
  <c r="CE531" i="6" s="1"/>
  <c r="Y609" i="6"/>
  <c r="CH546" i="6" s="1"/>
  <c r="BE545" i="6" s="1"/>
  <c r="BE550" i="6" s="1"/>
  <c r="O608" i="6"/>
  <c r="AU571" i="6" s="1"/>
  <c r="BU528" i="6"/>
  <c r="BU531" i="6" s="1"/>
  <c r="BW635" i="3"/>
  <c r="BS659" i="3"/>
  <c r="AB970" i="3" s="1"/>
  <c r="AJ970" i="3" s="1"/>
  <c r="CM659" i="3"/>
  <c r="AB973" i="3" s="1"/>
  <c r="AJ973" i="3" s="1"/>
  <c r="CC530" i="6"/>
  <c r="CC531" i="6" s="1"/>
  <c r="Y611" i="6"/>
  <c r="BE574" i="6" s="1"/>
  <c r="AP584" i="6" s="1"/>
  <c r="AP537" i="6"/>
  <c r="BN587" i="6" s="1"/>
  <c r="BN588" i="6" s="1"/>
  <c r="Y608" i="6"/>
  <c r="BE571" i="6" s="1"/>
  <c r="AP581" i="6" s="1"/>
  <c r="BJ571" i="6" s="1"/>
  <c r="BJ577" i="6" s="1"/>
  <c r="AZ201" i="6"/>
  <c r="AP536" i="6"/>
  <c r="BJ586" i="6" s="1"/>
  <c r="BJ588" i="6" s="1"/>
  <c r="AZ575" i="6"/>
  <c r="BY529" i="6"/>
  <c r="BY531" i="6" s="1"/>
  <c r="AP533" i="6"/>
  <c r="BH583" i="6" s="1"/>
  <c r="CC659" i="3"/>
  <c r="AB972" i="3" s="1"/>
  <c r="AJ972" i="3" s="1"/>
  <c r="L29" i="28"/>
  <c r="V29" i="28" s="1"/>
  <c r="O610" i="6"/>
  <c r="AO610" i="6" s="1"/>
  <c r="AZ198" i="6"/>
  <c r="AU574" i="6"/>
  <c r="AP535" i="6"/>
  <c r="BF585" i="6" s="1"/>
  <c r="BF588" i="6" s="1"/>
  <c r="BX659" i="3"/>
  <c r="AB971" i="3" s="1"/>
  <c r="AJ971" i="3" s="1"/>
  <c r="CB635" i="3"/>
  <c r="Y612" i="6"/>
  <c r="BE575" i="6" s="1"/>
  <c r="AP585" i="6" s="1"/>
  <c r="BK565" i="6"/>
  <c r="AU575" i="6"/>
  <c r="AP548" i="6"/>
  <c r="L28" i="28"/>
  <c r="V28" i="28" s="1"/>
  <c r="T614" i="6"/>
  <c r="CL635" i="3"/>
  <c r="O609" i="6"/>
  <c r="AZ199" i="6"/>
  <c r="L30" i="28"/>
  <c r="V30" i="28" s="1"/>
  <c r="V26" i="28"/>
  <c r="G35" i="9"/>
  <c r="K9" i="9"/>
  <c r="Q8" i="9"/>
  <c r="O9" i="9"/>
  <c r="K15" i="9"/>
  <c r="I22" i="9"/>
  <c r="I35" i="9" s="1"/>
  <c r="E6" i="9"/>
  <c r="F103" i="18" l="1"/>
  <c r="F105" i="18" s="1"/>
  <c r="E41" i="18"/>
  <c r="S62" i="4"/>
  <c r="E63" i="15"/>
  <c r="B95" i="18"/>
  <c r="B97" i="15"/>
  <c r="B96" i="4"/>
  <c r="C97" i="15"/>
  <c r="D97" i="15"/>
  <c r="C104" i="4"/>
  <c r="BG738" i="3"/>
  <c r="AM738" i="3" s="1"/>
  <c r="E5" i="9"/>
  <c r="I4" i="9"/>
  <c r="K4" i="9" s="1"/>
  <c r="M4" i="9" s="1"/>
  <c r="BH584" i="6"/>
  <c r="BH588" i="6" s="1"/>
  <c r="BF589" i="6" s="1"/>
  <c r="Z805" i="3"/>
  <c r="BF738" i="3"/>
  <c r="AZ738" i="3"/>
  <c r="BA738" i="3"/>
  <c r="AH738" i="3" s="1"/>
  <c r="BP584" i="6"/>
  <c r="BL584" i="6"/>
  <c r="Y610" i="6"/>
  <c r="AU533" i="6" s="1"/>
  <c r="CC532" i="6"/>
  <c r="AO608" i="6"/>
  <c r="BW528" i="6"/>
  <c r="BW531" i="6" s="1"/>
  <c r="BU532" i="6" s="1"/>
  <c r="CH548" i="6"/>
  <c r="AU576" i="6"/>
  <c r="BE576" i="6"/>
  <c r="AP586" i="6" s="1"/>
  <c r="CH550" i="6"/>
  <c r="BP586" i="6"/>
  <c r="BO526" i="6"/>
  <c r="BO531" i="6" s="1"/>
  <c r="BM532" i="6" s="1"/>
  <c r="BE572" i="6"/>
  <c r="AP582" i="6" s="1"/>
  <c r="BO572" i="6" s="1"/>
  <c r="BO577" i="6" s="1"/>
  <c r="BD583" i="6"/>
  <c r="BD588" i="6" s="1"/>
  <c r="BB589" i="6" s="1"/>
  <c r="AZ202" i="6"/>
  <c r="AZ203" i="6" s="1"/>
  <c r="AO197" i="6" s="1"/>
  <c r="O614" i="6"/>
  <c r="AR606" i="6" s="1"/>
  <c r="AR611" i="6" s="1"/>
  <c r="BL583" i="6"/>
  <c r="CH549" i="6"/>
  <c r="CA529" i="6"/>
  <c r="CA531" i="6" s="1"/>
  <c r="BY532" i="6" s="1"/>
  <c r="BP583" i="6"/>
  <c r="AX583" i="6"/>
  <c r="AX588" i="6" s="1"/>
  <c r="AX589" i="6" s="1"/>
  <c r="CQ636" i="3"/>
  <c r="P422" i="3" s="1"/>
  <c r="AU573" i="6"/>
  <c r="BL585" i="6"/>
  <c r="V31" i="28"/>
  <c r="BP585" i="6"/>
  <c r="AY541" i="6"/>
  <c r="L31" i="28"/>
  <c r="AJ975" i="3"/>
  <c r="AJ1028" i="3" s="1"/>
  <c r="BF565" i="6"/>
  <c r="BK568" i="6" s="1"/>
  <c r="AU546" i="6" s="1"/>
  <c r="AO609" i="6"/>
  <c r="AU572" i="6"/>
  <c r="AB974" i="3"/>
  <c r="M15" i="9"/>
  <c r="K22" i="9"/>
  <c r="K35" i="9" s="1"/>
  <c r="E7" i="9"/>
  <c r="G6" i="9"/>
  <c r="S8" i="9"/>
  <c r="Q9" i="9"/>
  <c r="E61" i="18" l="1"/>
  <c r="S96" i="4"/>
  <c r="E97" i="15"/>
  <c r="AC456" i="3"/>
  <c r="C105" i="15"/>
  <c r="B105" i="15"/>
  <c r="D105" i="15"/>
  <c r="B103" i="18"/>
  <c r="B104" i="4"/>
  <c r="E11" i="9"/>
  <c r="E49" i="9" s="1"/>
  <c r="I5" i="9"/>
  <c r="BS527" i="6"/>
  <c r="BS531" i="6" s="1"/>
  <c r="BQ532" i="6" s="1"/>
  <c r="BQ533" i="6" s="1"/>
  <c r="BQ537" i="6" s="1"/>
  <c r="K5" i="9"/>
  <c r="BA203" i="6"/>
  <c r="BY535" i="6"/>
  <c r="AU537" i="6"/>
  <c r="AU535" i="6"/>
  <c r="BU534" i="6"/>
  <c r="CQ657" i="3"/>
  <c r="U370" i="6" s="1"/>
  <c r="AU536" i="6"/>
  <c r="AU534" i="6"/>
  <c r="CH547" i="6"/>
  <c r="BI546" i="6" s="1"/>
  <c r="BI550" i="6" s="1"/>
  <c r="BE573" i="6"/>
  <c r="AP583" i="6" s="1"/>
  <c r="BT573" i="6" s="1"/>
  <c r="BY574" i="6" s="1"/>
  <c r="BY577" i="6" s="1"/>
  <c r="AR609" i="6"/>
  <c r="CC533" i="6"/>
  <c r="CC536" i="6"/>
  <c r="O741" i="3"/>
  <c r="BP588" i="6"/>
  <c r="BN589" i="6" s="1"/>
  <c r="BL588" i="6"/>
  <c r="BJ589" i="6" s="1"/>
  <c r="Y614" i="6"/>
  <c r="AR605" i="6" s="1"/>
  <c r="AR608" i="6"/>
  <c r="AR613" i="6"/>
  <c r="BY533" i="6"/>
  <c r="AR610" i="6"/>
  <c r="AR612" i="6"/>
  <c r="T24" i="5"/>
  <c r="AX546" i="6"/>
  <c r="AU549" i="6"/>
  <c r="AS542" i="6"/>
  <c r="AP192" i="6"/>
  <c r="AJ206" i="6" s="1"/>
  <c r="AK283" i="6" s="1"/>
  <c r="T703" i="6" s="1"/>
  <c r="AO694" i="6" s="1"/>
  <c r="AO693" i="6" s="1"/>
  <c r="T702" i="6" s="1"/>
  <c r="AF702" i="6" s="1"/>
  <c r="AP193" i="6"/>
  <c r="O4" i="9"/>
  <c r="M5" i="9"/>
  <c r="I6" i="9"/>
  <c r="G7" i="9"/>
  <c r="G11" i="9" s="1"/>
  <c r="G37" i="9" s="1"/>
  <c r="U8" i="9"/>
  <c r="S9" i="9"/>
  <c r="O15" i="9"/>
  <c r="M22" i="9"/>
  <c r="M35" i="9" s="1"/>
  <c r="E95" i="18" l="1"/>
  <c r="S104" i="4"/>
  <c r="T11" i="27"/>
  <c r="T23" i="27" s="1"/>
  <c r="T11" i="5"/>
  <c r="T11" i="26"/>
  <c r="T23" i="26" s="1"/>
  <c r="AB46" i="27"/>
  <c r="AB48" i="27" s="1"/>
  <c r="AB53" i="27" s="1"/>
  <c r="AB54" i="27" s="1"/>
  <c r="AC455" i="3"/>
  <c r="F458" i="3" s="1"/>
  <c r="AB46" i="26"/>
  <c r="AB48" i="26" s="1"/>
  <c r="AB53" i="26" s="1"/>
  <c r="AB54" i="26" s="1"/>
  <c r="J58" i="25"/>
  <c r="AB46" i="5"/>
  <c r="AB48" i="5" s="1"/>
  <c r="AB53" i="5" s="1"/>
  <c r="AB54" i="5" s="1"/>
  <c r="E105" i="15"/>
  <c r="E45" i="9"/>
  <c r="E48" i="9" s="1"/>
  <c r="BY534" i="6"/>
  <c r="BY537" i="6" s="1"/>
  <c r="CC535" i="6"/>
  <c r="BU533" i="6"/>
  <c r="BU537" i="6" s="1"/>
  <c r="BJ590" i="6"/>
  <c r="AV554" i="6" s="1"/>
  <c r="BM547" i="6"/>
  <c r="AJ617" i="6"/>
  <c r="T708" i="6" s="1"/>
  <c r="T706" i="6" s="1"/>
  <c r="CC534" i="6"/>
  <c r="BT577" i="6"/>
  <c r="CD575" i="6"/>
  <c r="AK619" i="6"/>
  <c r="G45" i="9"/>
  <c r="G49" i="9"/>
  <c r="I7" i="9"/>
  <c r="I11" i="9" s="1"/>
  <c r="I37" i="9" s="1"/>
  <c r="K6" i="9"/>
  <c r="W8" i="9"/>
  <c r="U9" i="9"/>
  <c r="Q15" i="9"/>
  <c r="O22" i="9"/>
  <c r="O35" i="9" s="1"/>
  <c r="O5" i="9"/>
  <c r="Q4" i="9"/>
  <c r="S106" i="4" l="1"/>
  <c r="E103" i="18"/>
  <c r="T26" i="26"/>
  <c r="T28" i="26" s="1"/>
  <c r="BE16" i="28"/>
  <c r="T23" i="5"/>
  <c r="T26" i="27"/>
  <c r="T28" i="27" s="1"/>
  <c r="G71" i="25"/>
  <c r="G72" i="25" s="1"/>
  <c r="B75" i="25" s="1"/>
  <c r="B76" i="25"/>
  <c r="O76" i="25" s="1"/>
  <c r="CC537" i="6"/>
  <c r="CG537" i="6" s="1"/>
  <c r="E47" i="9"/>
  <c r="E60" i="9"/>
  <c r="E66" i="9" s="1"/>
  <c r="AF706" i="6"/>
  <c r="AF712" i="6" s="1"/>
  <c r="BM550" i="6"/>
  <c r="BQ548" i="6"/>
  <c r="CD577" i="6"/>
  <c r="CI576" i="6"/>
  <c r="CI577" i="6" s="1"/>
  <c r="K7" i="9"/>
  <c r="K11" i="9" s="1"/>
  <c r="K37" i="9" s="1"/>
  <c r="M6" i="9"/>
  <c r="G47" i="9"/>
  <c r="G60" i="9"/>
  <c r="G48" i="9"/>
  <c r="S15" i="9"/>
  <c r="Q22" i="9"/>
  <c r="Q35" i="9" s="1"/>
  <c r="I49" i="9"/>
  <c r="I45" i="9"/>
  <c r="Q5" i="9"/>
  <c r="S4" i="9"/>
  <c r="W9" i="9"/>
  <c r="Y8" i="9"/>
  <c r="AC457" i="3" l="1"/>
  <c r="E105" i="18"/>
  <c r="X1032" i="3"/>
  <c r="X1033" i="3" s="1"/>
  <c r="D1034" i="3" s="1"/>
  <c r="T26" i="5"/>
  <c r="T28" i="5" s="1"/>
  <c r="E67" i="9"/>
  <c r="E70" i="9" s="1"/>
  <c r="E72" i="9" s="1"/>
  <c r="CN577" i="6"/>
  <c r="BD558" i="6" s="1"/>
  <c r="AW562" i="6" s="1"/>
  <c r="BQ550" i="6"/>
  <c r="BU549" i="6"/>
  <c r="BU550" i="6" s="1"/>
  <c r="S22" i="9"/>
  <c r="S35" i="9" s="1"/>
  <c r="U15" i="9"/>
  <c r="G67" i="9"/>
  <c r="G68" i="9"/>
  <c r="G66" i="9"/>
  <c r="G69" i="9"/>
  <c r="G62" i="9"/>
  <c r="K49" i="9"/>
  <c r="K45" i="9"/>
  <c r="S5" i="9"/>
  <c r="U4" i="9"/>
  <c r="Y9" i="9"/>
  <c r="AA8" i="9"/>
  <c r="O6" i="9"/>
  <c r="M7" i="9"/>
  <c r="M11" i="9" s="1"/>
  <c r="M37" i="9" s="1"/>
  <c r="I47" i="9"/>
  <c r="I48" i="9"/>
  <c r="I60" i="9"/>
  <c r="Y11" i="27" l="1"/>
  <c r="Y23" i="27" s="1"/>
  <c r="Y11" i="26"/>
  <c r="Y23" i="26" s="1"/>
  <c r="Y11" i="5"/>
  <c r="Y23" i="5" s="1"/>
  <c r="CC550" i="6"/>
  <c r="AT560" i="6"/>
  <c r="O7" i="9"/>
  <c r="O11" i="9" s="1"/>
  <c r="O37" i="9" s="1"/>
  <c r="Q6" i="9"/>
  <c r="I69" i="9"/>
  <c r="I67" i="9"/>
  <c r="I62" i="9"/>
  <c r="I68" i="9"/>
  <c r="I66" i="9"/>
  <c r="G70" i="9"/>
  <c r="G72" i="9" s="1"/>
  <c r="M45" i="9"/>
  <c r="M49" i="9"/>
  <c r="K60" i="9"/>
  <c r="K47" i="9"/>
  <c r="K48" i="9"/>
  <c r="W15" i="9"/>
  <c r="U22" i="9"/>
  <c r="U35" i="9" s="1"/>
  <c r="AA9" i="9"/>
  <c r="AC8" i="9"/>
  <c r="U5" i="9"/>
  <c r="W4" i="9"/>
  <c r="Y26" i="26" l="1"/>
  <c r="Y28" i="26" s="1"/>
  <c r="Y38" i="26"/>
  <c r="Y40" i="26" s="1"/>
  <c r="AD38" i="26"/>
  <c r="AD40" i="26" s="1"/>
  <c r="Y26" i="5"/>
  <c r="Y28" i="5" s="1"/>
  <c r="AD38" i="5"/>
  <c r="AD40" i="5" s="1"/>
  <c r="Q71" i="25"/>
  <c r="O75" i="25" s="1"/>
  <c r="R75" i="25" s="1"/>
  <c r="Y26" i="27"/>
  <c r="Y28" i="27" s="1"/>
  <c r="Y38" i="27"/>
  <c r="Y40" i="27" s="1"/>
  <c r="AD38" i="27"/>
  <c r="AD40" i="27" s="1"/>
  <c r="Y4" i="9"/>
  <c r="W5" i="9"/>
  <c r="K62" i="9"/>
  <c r="K66" i="9"/>
  <c r="K69" i="9"/>
  <c r="K68" i="9"/>
  <c r="K67" i="9"/>
  <c r="O49" i="9"/>
  <c r="O45" i="9"/>
  <c r="I70" i="9"/>
  <c r="I72" i="9" s="1"/>
  <c r="AC9" i="9"/>
  <c r="AE8" i="9"/>
  <c r="M48" i="9"/>
  <c r="M47" i="9"/>
  <c r="M60" i="9"/>
  <c r="S6" i="9"/>
  <c r="Q7" i="9"/>
  <c r="Q11" i="9" s="1"/>
  <c r="Q37" i="9" s="1"/>
  <c r="Y15" i="9"/>
  <c r="W22" i="9"/>
  <c r="W35" i="9" s="1"/>
  <c r="Y41" i="27" l="1"/>
  <c r="AB55" i="27" s="1"/>
  <c r="AB56" i="27" s="1"/>
  <c r="AB58" i="27" s="1"/>
  <c r="Y63" i="5"/>
  <c r="Y67" i="5" s="1"/>
  <c r="T29" i="5"/>
  <c r="Y38" i="5"/>
  <c r="Y40" i="5" s="1"/>
  <c r="Y41" i="26"/>
  <c r="AB55" i="26" s="1"/>
  <c r="AB56" i="26" s="1"/>
  <c r="AB58" i="26" s="1"/>
  <c r="Y63" i="27"/>
  <c r="Y67" i="27" s="1"/>
  <c r="T29" i="27"/>
  <c r="Y63" i="26"/>
  <c r="Y67" i="26" s="1"/>
  <c r="T29" i="26"/>
  <c r="AE9" i="9"/>
  <c r="AG8" i="9"/>
  <c r="AG9" i="9" s="1"/>
  <c r="Q45" i="9"/>
  <c r="Q49" i="9"/>
  <c r="O47" i="9"/>
  <c r="O48" i="9"/>
  <c r="O60" i="9"/>
  <c r="K70" i="9"/>
  <c r="K72" i="9" s="1"/>
  <c r="AA15" i="9"/>
  <c r="Y22" i="9"/>
  <c r="Y35" i="9" s="1"/>
  <c r="S7" i="9"/>
  <c r="S11" i="9" s="1"/>
  <c r="S37" i="9" s="1"/>
  <c r="U6" i="9"/>
  <c r="M62" i="9"/>
  <c r="M67" i="9"/>
  <c r="M66" i="9"/>
  <c r="M68" i="9"/>
  <c r="M69" i="9"/>
  <c r="AA4" i="9"/>
  <c r="Y5" i="9"/>
  <c r="AB75" i="26" l="1"/>
  <c r="AB76" i="26" s="1"/>
  <c r="AB77" i="26" s="1"/>
  <c r="AB79" i="26" s="1"/>
  <c r="J80" i="26" s="1"/>
  <c r="F59" i="26"/>
  <c r="AR42" i="5"/>
  <c r="Y41" i="5" s="1"/>
  <c r="AB55" i="5" s="1"/>
  <c r="AR43" i="5"/>
  <c r="AB75" i="27"/>
  <c r="AB76" i="27" s="1"/>
  <c r="AB77" i="27" s="1"/>
  <c r="AB79" i="27" s="1"/>
  <c r="J80" i="27" s="1"/>
  <c r="F59" i="27"/>
  <c r="Q48" i="9"/>
  <c r="Q60" i="9"/>
  <c r="Q47" i="9"/>
  <c r="U7" i="9"/>
  <c r="U11" i="9" s="1"/>
  <c r="U37" i="9" s="1"/>
  <c r="W6" i="9"/>
  <c r="AC4" i="9"/>
  <c r="AA5" i="9"/>
  <c r="AA22" i="9"/>
  <c r="AA35" i="9" s="1"/>
  <c r="AC15" i="9"/>
  <c r="O68" i="9"/>
  <c r="O66" i="9"/>
  <c r="O62" i="9"/>
  <c r="O69" i="9"/>
  <c r="O67" i="9"/>
  <c r="S45" i="9"/>
  <c r="S49" i="9"/>
  <c r="M70" i="9"/>
  <c r="M72" i="9" s="1"/>
  <c r="M25" i="3" l="1"/>
  <c r="P203" i="3" s="1"/>
  <c r="BE15" i="28"/>
  <c r="Q22" i="28"/>
  <c r="V33" i="28" s="1"/>
  <c r="V35" i="28" s="1"/>
  <c r="AB56" i="5"/>
  <c r="AB58" i="5" s="1"/>
  <c r="O70" i="9"/>
  <c r="O72" i="9" s="1"/>
  <c r="W7" i="9"/>
  <c r="W11" i="9" s="1"/>
  <c r="W37" i="9" s="1"/>
  <c r="Y6" i="9"/>
  <c r="U45" i="9"/>
  <c r="U49" i="9"/>
  <c r="AC22" i="9"/>
  <c r="AC35" i="9" s="1"/>
  <c r="AE15" i="9"/>
  <c r="S60" i="9"/>
  <c r="S47" i="9"/>
  <c r="S48" i="9"/>
  <c r="Q69" i="9"/>
  <c r="Q66" i="9"/>
  <c r="Q62" i="9"/>
  <c r="Q67" i="9"/>
  <c r="Q68" i="9"/>
  <c r="AC5" i="9"/>
  <c r="AE4" i="9"/>
  <c r="AB75" i="5" l="1"/>
  <c r="AB76" i="5" s="1"/>
  <c r="F59" i="5"/>
  <c r="AG15" i="9"/>
  <c r="AG22" i="9" s="1"/>
  <c r="AG35" i="9" s="1"/>
  <c r="AE22" i="9"/>
  <c r="AE35" i="9" s="1"/>
  <c r="AE5" i="9"/>
  <c r="AG4" i="9"/>
  <c r="U47" i="9"/>
  <c r="U48" i="9"/>
  <c r="Y7" i="9"/>
  <c r="Y11" i="9" s="1"/>
  <c r="Y37" i="9" s="1"/>
  <c r="AA6" i="9"/>
  <c r="S67" i="9"/>
  <c r="S66" i="9"/>
  <c r="S68" i="9"/>
  <c r="S69" i="9"/>
  <c r="S62" i="9"/>
  <c r="Q70" i="9"/>
  <c r="Q72" i="9" s="1"/>
  <c r="W45" i="9"/>
  <c r="W49" i="9"/>
  <c r="M27" i="3" l="1"/>
  <c r="AB77" i="5"/>
  <c r="AB79" i="5" s="1"/>
  <c r="J80" i="5" s="1"/>
  <c r="S70" i="9"/>
  <c r="S72" i="9" s="1"/>
  <c r="AG5" i="9"/>
  <c r="W47" i="9"/>
  <c r="W48" i="9"/>
  <c r="Y49" i="9"/>
  <c r="Y45" i="9"/>
  <c r="AA7" i="9"/>
  <c r="AA11" i="9" s="1"/>
  <c r="AA37" i="9" s="1"/>
  <c r="AC6" i="9"/>
  <c r="U67" i="9"/>
  <c r="U66" i="9"/>
  <c r="U62" i="9"/>
  <c r="U68" i="9"/>
  <c r="U69" i="9"/>
  <c r="W203" i="3" l="1"/>
  <c r="D203" i="3"/>
  <c r="AA49" i="9"/>
  <c r="AA45" i="9"/>
  <c r="W67" i="9"/>
  <c r="W66" i="9"/>
  <c r="W68" i="9"/>
  <c r="W69" i="9"/>
  <c r="W62" i="9"/>
  <c r="Y47" i="9"/>
  <c r="Y48" i="9"/>
  <c r="U70" i="9"/>
  <c r="U72" i="9" s="1"/>
  <c r="AE6" i="9"/>
  <c r="AC7" i="9"/>
  <c r="AC11" i="9" s="1"/>
  <c r="AC37" i="9" s="1"/>
  <c r="AC45" i="9" l="1"/>
  <c r="AC49" i="9"/>
  <c r="Y62" i="9"/>
  <c r="Y68" i="9"/>
  <c r="Y67" i="9"/>
  <c r="Y66" i="9"/>
  <c r="Y69" i="9"/>
  <c r="AG6" i="9"/>
  <c r="AE7" i="9"/>
  <c r="AE11" i="9" s="1"/>
  <c r="AE37" i="9" s="1"/>
  <c r="W70" i="9"/>
  <c r="W72" i="9" s="1"/>
  <c r="AA47" i="9"/>
  <c r="AA48" i="9"/>
  <c r="Y70" i="9" l="1"/>
  <c r="Y72" i="9" s="1"/>
  <c r="AA66" i="9"/>
  <c r="AA67" i="9"/>
  <c r="AA62" i="9"/>
  <c r="AA68" i="9"/>
  <c r="AA69" i="9"/>
  <c r="AE45" i="9"/>
  <c r="AE49" i="9"/>
  <c r="AG7" i="9"/>
  <c r="AG11" i="9" s="1"/>
  <c r="AG37" i="9" s="1"/>
  <c r="AC47" i="9"/>
  <c r="AC48" i="9"/>
  <c r="AG49" i="9" l="1"/>
  <c r="AG45" i="9"/>
  <c r="AA70" i="9"/>
  <c r="AA72" i="9" s="1"/>
  <c r="AE48" i="9"/>
  <c r="AE47" i="9"/>
  <c r="AC66" i="9"/>
  <c r="AC69" i="9"/>
  <c r="AC62" i="9"/>
  <c r="AC67" i="9"/>
  <c r="AC68" i="9"/>
  <c r="AC70" i="9" l="1"/>
  <c r="AC72" i="9" s="1"/>
  <c r="AE66" i="9"/>
  <c r="AE62" i="9"/>
  <c r="AE68" i="9"/>
  <c r="AE67" i="9"/>
  <c r="AE69" i="9"/>
  <c r="AG47" i="9"/>
  <c r="AG48"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<sst xmlns="http://schemas.openxmlformats.org/spreadsheetml/2006/main" count="4677" uniqueCount="2474">
  <si>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</si>
  <si>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</si>
  <si>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</si>
  <si>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</si>
  <si>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</si>
  <si>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</si>
  <si>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</si>
  <si>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</si>
  <si>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</si>
  <si>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</si>
  <si>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</si>
  <si>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</si>
  <si>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</si>
  <si>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</si>
  <si>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</si>
  <si>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</si>
  <si>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</si>
  <si>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</si>
  <si>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</si>
  <si>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</si>
  <si>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</si>
  <si>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</si>
  <si>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</si>
  <si>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</si>
  <si>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</si>
  <si>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</si>
  <si>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</si>
  <si>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</si>
  <si>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</si>
  <si>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</si>
  <si>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</si>
  <si>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</si>
  <si>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</si>
  <si>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</si>
  <si>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</si>
  <si>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</si>
  <si>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</si>
  <si>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</si>
  <si>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</si>
  <si>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</si>
  <si>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</si>
  <si>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</si>
  <si>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</si>
  <si>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</si>
  <si>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</si>
  <si>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</si>
  <si>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</si>
  <si>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</si>
  <si>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</si>
  <si>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</si>
  <si>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</si>
  <si>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</si>
  <si>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</si>
  <si>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</si>
  <si>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</si>
  <si>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</si>
  <si>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</si>
  <si>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</si>
  <si>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</si>
  <si>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</si>
  <si>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</si>
  <si>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</si>
  <si>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</si>
  <si>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</si>
  <si>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</si>
  <si>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</si>
  <si>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</si>
  <si>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</si>
  <si>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</si>
  <si>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</si>
  <si>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</si>
  <si>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</si>
  <si>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</si>
  <si>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</si>
  <si>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</si>
  <si>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</si>
  <si>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</si>
  <si>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</si>
  <si>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</si>
  <si>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</si>
  <si>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</si>
  <si>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</si>
  <si>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</si>
  <si>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</si>
  <si>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</si>
  <si>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</si>
  <si>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</si>
  <si>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</si>
  <si>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</si>
  <si>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</si>
  <si>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</si>
  <si>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</si>
  <si>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</si>
  <si>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</si>
  <si>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</si>
  <si>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</si>
  <si>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</si>
  <si>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</si>
  <si>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</si>
  <si>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</si>
  <si>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</si>
  <si>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</si>
  <si>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</si>
  <si>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</si>
  <si>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</si>
  <si>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</si>
  <si>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</si>
  <si>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</si>
  <si>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</si>
  <si>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</si>
  <si>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</si>
  <si>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</si>
  <si>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</si>
  <si>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</si>
  <si>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</si>
  <si>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</si>
  <si>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</si>
  <si>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</si>
  <si>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</si>
  <si>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</si>
  <si>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</si>
  <si>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</si>
  <si>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</si>
  <si>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</si>
  <si>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</si>
  <si>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</si>
  <si>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</si>
  <si>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</si>
  <si>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</si>
  <si>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</si>
  <si>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</si>
  <si>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</si>
  <si>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</si>
  <si>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</si>
  <si>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</si>
  <si>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</si>
  <si>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</si>
  <si>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</si>
  <si>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</si>
  <si>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</si>
  <si>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</si>
  <si>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</si>
  <si>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</si>
  <si>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</si>
  <si>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</si>
  <si>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</si>
  <si>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</si>
  <si>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</si>
  <si>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</si>
  <si>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</si>
  <si>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</si>
  <si>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</si>
  <si>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</si>
  <si>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</si>
  <si>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</si>
  <si>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</si>
  <si>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</si>
  <si>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</si>
  <si>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</si>
  <si>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</si>
  <si>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</si>
  <si>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</si>
  <si>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</si>
  <si>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</si>
  <si>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</si>
  <si>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</si>
  <si>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</si>
  <si>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</si>
  <si>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</si>
  <si>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</si>
  <si>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</si>
  <si>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</si>
  <si>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</si>
  <si>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</si>
  <si>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</si>
  <si>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</si>
  <si>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</si>
  <si>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</si>
  <si>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</si>
  <si>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</si>
  <si>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</si>
  <si>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</si>
  <si>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</si>
  <si>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</si>
  <si>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</si>
  <si>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</si>
  <si>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</si>
  <si>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</si>
  <si>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</si>
  <si>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</si>
  <si>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</si>
  <si>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</si>
  <si>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</si>
  <si>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</si>
  <si>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</si>
  <si>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</si>
  <si>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</si>
  <si>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</si>
  <si>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</si>
  <si>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</si>
  <si>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</si>
  <si>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</si>
  <si>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</si>
  <si>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</si>
  <si>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</si>
  <si>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</si>
  <si>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</si>
  <si>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</si>
  <si>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</si>
  <si>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</si>
  <si>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</si>
  <si>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</si>
  <si>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</si>
  <si>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</si>
  <si>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</si>
  <si>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</si>
  <si>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</si>
  <si>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</si>
  <si>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</si>
  <si>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</si>
  <si>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</si>
  <si>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</si>
  <si>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</si>
  <si>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</si>
  <si>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</si>
  <si>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</si>
  <si>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</si>
  <si>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</si>
  <si>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</si>
  <si>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</si>
  <si>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</si>
  <si>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</si>
  <si>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</si>
  <si>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</si>
  <si>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</si>
  <si>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</si>
  <si>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</si>
  <si>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</si>
  <si>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</si>
  <si>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</si>
  <si>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</si>
  <si>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</si>
  <si>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</si>
  <si>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</si>
  <si>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</si>
  <si>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</si>
  <si>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</si>
  <si>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</si>
  <si>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</si>
  <si>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</si>
  <si>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</si>
  <si>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</si>
  <si>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</si>
  <si>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</si>
  <si>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</si>
  <si>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</si>
  <si>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</si>
  <si>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</si>
  <si>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</si>
  <si>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</si>
  <si>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</si>
  <si>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</si>
  <si>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</si>
  <si>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</si>
  <si>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</si>
  <si>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</si>
  <si>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</si>
  <si>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</si>
  <si>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</si>
  <si>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</si>
  <si>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</si>
  <si>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</si>
  <si>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</si>
  <si>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</si>
  <si>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</si>
  <si>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</si>
  <si>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</si>
  <si>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</si>
  <si>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</si>
  <si>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</si>
  <si>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</si>
  <si>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</si>
  <si>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</si>
  <si>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</si>
  <si>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</si>
  <si>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</si>
  <si>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</si>
  <si>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</si>
  <si>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</si>
  <si>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</si>
  <si>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</si>
  <si>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</si>
  <si>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</si>
  <si>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</si>
  <si>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</si>
  <si>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</si>
  <si>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</si>
  <si>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</si>
  <si>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</si>
  <si>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</si>
  <si>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</si>
  <si>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</si>
  <si>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</si>
  <si>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</si>
  <si>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</si>
  <si>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</si>
  <si>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</si>
  <si>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</si>
  <si>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</si>
  <si>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</si>
  <si>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</si>
  <si>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</si>
  <si>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</si>
  <si>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</si>
  <si>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</si>
  <si>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</si>
  <si>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</si>
  <si>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</si>
  <si>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</si>
  <si>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</si>
  <si>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</si>
  <si>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</si>
  <si>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</si>
  <si>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</si>
  <si>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</si>
  <si>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</si>
  <si>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</si>
  <si>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</si>
  <si>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</si>
  <si>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</si>
  <si>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</si>
  <si>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</si>
  <si>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</si>
  <si>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</si>
  <si>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</si>
  <si>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</si>
  <si>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</si>
  <si>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</si>
  <si>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</si>
  <si>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</si>
  <si>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</si>
  <si>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</si>
  <si>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</si>
  <si>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</si>
  <si>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</si>
  <si>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</si>
  <si>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</si>
  <si>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</si>
  <si>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</si>
  <si>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</si>
  <si>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</si>
  <si>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</si>
  <si>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</si>
  <si>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</si>
  <si>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</si>
  <si>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</si>
  <si>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</si>
  <si>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</si>
  <si>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</si>
  <si>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</si>
  <si>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</si>
  <si>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</si>
  <si>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</si>
  <si>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</si>
  <si>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</si>
  <si>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</si>
  <si>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</si>
  <si>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</si>
  <si>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</si>
  <si>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</si>
  <si>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</si>
  <si>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</si>
  <si>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</si>
  <si>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</si>
  <si>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</si>
  <si>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</si>
  <si>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</si>
  <si>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</si>
  <si>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</si>
  <si>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</si>
  <si>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</si>
  <si>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</si>
  <si>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</si>
  <si>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</si>
  <si>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</si>
  <si>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</si>
  <si>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</si>
  <si>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</si>
  <si>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</si>
  <si>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</si>
  <si>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</si>
  <si>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</si>
  <si>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</si>
  <si>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</si>
  <si>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</si>
  <si>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</si>
  <si>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</si>
  <si>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</si>
  <si>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</si>
  <si>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</si>
  <si>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</si>
  <si>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</si>
  <si>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</si>
  <si>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</si>
  <si>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</si>
  <si>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</si>
  <si>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</si>
  <si>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</si>
  <si>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</si>
  <si>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</si>
  <si>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</si>
  <si>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</si>
  <si>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</si>
  <si>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</si>
  <si>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</si>
  <si>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</si>
  <si>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</si>
  <si>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</si>
  <si>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</si>
  <si>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</si>
  <si>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</si>
  <si>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</si>
  <si>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</si>
  <si>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</si>
  <si>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</si>
  <si>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</si>
  <si>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</si>
  <si>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</si>
  <si>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</si>
  <si>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</si>
  <si>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</si>
  <si>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</si>
  <si>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</si>
  <si>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</si>
  <si>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</si>
  <si>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</si>
  <si>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</si>
  <si>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</si>
  <si>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</si>
  <si>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</si>
  <si>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</si>
  <si>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</si>
  <si>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</si>
  <si>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</si>
  <si>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</si>
  <si>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</si>
  <si>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</si>
  <si>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</si>
  <si>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</si>
  <si>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</si>
  <si>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</si>
  <si>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</si>
  <si>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</si>
  <si>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</si>
  <si>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</si>
  <si>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</si>
  <si>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</si>
  <si>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</si>
  <si>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</si>
  <si>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</si>
  <si>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</si>
  <si>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</si>
  <si>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</si>
  <si>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</si>
  <si>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</si>
  <si>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</si>
  <si>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</si>
  <si>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</si>
  <si>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</si>
  <si>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</si>
  <si>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</si>
  <si>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</si>
  <si>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</si>
  <si>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</si>
  <si>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</si>
  <si>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</si>
  <si>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</si>
  <si>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</si>
  <si>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</si>
  <si>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</si>
  <si>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</si>
  <si>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</si>
  <si>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</si>
  <si>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</si>
  <si>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</si>
  <si>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</si>
  <si>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</si>
  <si>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</si>
  <si>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</si>
  <si>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</si>
  <si>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</si>
  <si>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</si>
  <si>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</si>
  <si>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</si>
  <si>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</si>
  <si>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</si>
  <si>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</si>
  <si>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</si>
  <si>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</si>
  <si>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</si>
  <si>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</si>
  <si>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</si>
  <si>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</si>
  <si>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</si>
  <si>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</si>
  <si>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</si>
  <si>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</si>
  <si>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</si>
  <si>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</si>
  <si>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</si>
  <si>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</si>
  <si>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</si>
  <si>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</si>
  <si>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</si>
  <si>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</si>
  <si>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</si>
  <si>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</si>
  <si>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</si>
  <si>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</si>
  <si>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</si>
  <si>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</si>
  <si>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</si>
  <si>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</si>
  <si>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</si>
  <si>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</si>
  <si>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</si>
  <si>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</si>
  <si>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</si>
  <si>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</si>
  <si>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</si>
  <si>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</si>
  <si>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</si>
  <si>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</si>
  <si>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</si>
  <si>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</si>
  <si>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</si>
  <si>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</si>
  <si>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</si>
  <si>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</si>
  <si>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</si>
  <si>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</si>
  <si>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</si>
  <si>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</si>
  <si>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</si>
  <si>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</si>
  <si>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</si>
  <si>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</si>
  <si>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</si>
  <si>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</si>
  <si>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</si>
  <si>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</si>
  <si>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</si>
  <si>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</si>
  <si>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</si>
  <si>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</si>
  <si>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</si>
  <si>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</si>
  <si>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</si>
  <si>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</si>
  <si>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</si>
  <si>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</si>
  <si>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</si>
  <si>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</si>
  <si>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</si>
  <si>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</si>
  <si>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</si>
  <si>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</si>
  <si>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</si>
  <si>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</si>
  <si>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</si>
  <si>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</si>
  <si>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</si>
  <si>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</si>
  <si>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</si>
  <si>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</si>
  <si>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</si>
  <si>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</si>
  <si>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</si>
  <si>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</si>
  <si>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</si>
  <si>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</si>
  <si>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</si>
  <si>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</si>
  <si>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</si>
  <si>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</si>
  <si>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</si>
  <si>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</si>
  <si>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</si>
  <si>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</si>
  <si>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</si>
  <si>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</si>
  <si>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</si>
  <si>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</si>
  <si>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</si>
  <si>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</si>
  <si>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</si>
  <si>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</si>
  <si>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</si>
  <si>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</si>
  <si>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</si>
  <si>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</si>
  <si>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</si>
  <si>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</si>
  <si>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</si>
  <si>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</si>
  <si>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</si>
  <si>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</si>
  <si>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</si>
  <si>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</si>
  <si>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</si>
  <si>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</si>
  <si>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</si>
  <si>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</si>
  <si>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</si>
  <si>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</si>
  <si>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</si>
  <si>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</si>
  <si>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</si>
  <si>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</si>
  <si>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</si>
  <si>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</si>
  <si>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</si>
  <si>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</si>
  <si>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</si>
  <si>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</si>
  <si>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</si>
  <si>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</si>
  <si>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</si>
  <si>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</si>
  <si>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</si>
  <si>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</si>
  <si>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</si>
  <si>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</si>
  <si>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</si>
  <si>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</si>
  <si>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</si>
  <si>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</si>
  <si>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</si>
  <si>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</si>
  <si>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</si>
  <si>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</si>
  <si>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</si>
  <si>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</si>
  <si>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</si>
  <si>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</si>
  <si>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</si>
  <si>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</si>
  <si>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</si>
  <si>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</si>
  <si>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</si>
  <si>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</si>
  <si>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</si>
  <si>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</si>
  <si>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</si>
  <si>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</si>
  <si>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</si>
  <si>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</si>
  <si>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</si>
  <si>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</si>
  <si>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</si>
  <si>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</si>
  <si>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</si>
  <si>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</si>
  <si>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</si>
  <si>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</si>
  <si>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</si>
  <si>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</si>
  <si>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</si>
  <si>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</si>
  <si>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</si>
  <si>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</si>
  <si>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</si>
  <si>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</si>
  <si>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</si>
  <si>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</si>
  <si>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</si>
  <si>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</si>
  <si>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</si>
  <si>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</si>
  <si>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</si>
  <si>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</si>
  <si>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</si>
  <si>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</si>
  <si>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</si>
  <si>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</si>
  <si>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</si>
  <si>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</si>
  <si>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</si>
  <si>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</si>
  <si>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</si>
  <si>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</si>
  <si>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</si>
  <si>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</si>
  <si>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</si>
  <si>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</si>
  <si>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</si>
  <si>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</si>
  <si>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</si>
  <si>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</si>
  <si>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</si>
  <si>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</si>
  <si>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</si>
  <si>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</si>
  <si>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</si>
  <si>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</si>
  <si>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</si>
  <si>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</si>
  <si>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</si>
  <si>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</si>
  <si>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</si>
  <si>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</si>
  <si>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</si>
  <si>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</si>
  <si>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</si>
  <si>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</si>
  <si>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</si>
  <si>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</si>
  <si>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</si>
  <si>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</si>
  <si>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</si>
  <si>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</si>
  <si>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</si>
  <si>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</si>
  <si>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</si>
  <si>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</si>
  <si>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</si>
  <si>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</si>
  <si>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</si>
  <si>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</si>
  <si>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</si>
  <si>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</si>
  <si>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</si>
  <si>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</si>
  <si>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</si>
  <si>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</si>
  <si>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</si>
  <si>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</si>
  <si>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</si>
  <si>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</si>
  <si>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</si>
  <si>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</si>
  <si>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</si>
  <si>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</si>
  <si>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</si>
  <si>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</si>
  <si>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</si>
  <si>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</si>
  <si>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</si>
  <si>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</si>
  <si>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</si>
  <si>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</si>
  <si>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</si>
  <si>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</si>
  <si>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</si>
  <si>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</si>
  <si>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</si>
  <si>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</si>
  <si>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</si>
  <si>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</si>
  <si>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</si>
  <si>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</si>
  <si>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</si>
  <si>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</si>
  <si>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</si>
  <si>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</si>
  <si>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</si>
  <si>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</si>
  <si>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</si>
  <si>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</si>
  <si>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</si>
  <si>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</si>
  <si>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</si>
  <si>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</si>
  <si>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</si>
  <si>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</si>
  <si>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</si>
  <si>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</si>
  <si>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</si>
  <si>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</si>
  <si>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</si>
  <si>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</si>
  <si>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</si>
  <si>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</si>
  <si>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</si>
  <si>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</si>
  <si>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</si>
  <si>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</si>
  <si>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</si>
  <si>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</si>
  <si>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</si>
  <si>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</si>
  <si>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</si>
  <si>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</si>
  <si>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</si>
  <si>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</si>
  <si>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</si>
  <si>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</si>
  <si>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</si>
  <si>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</si>
  <si>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</si>
  <si>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</si>
  <si>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</si>
  <si>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</si>
  <si>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</si>
  <si>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</si>
  <si>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</si>
  <si>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</si>
  <si>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</si>
  <si>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</si>
  <si>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</si>
  <si>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</si>
  <si>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</si>
  <si>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</si>
  <si>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</si>
  <si>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</si>
  <si>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</si>
  <si>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</si>
  <si>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</si>
  <si>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</si>
  <si>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</si>
  <si>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</si>
  <si>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</si>
  <si>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</si>
  <si>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</si>
  <si>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</si>
  <si>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</si>
  <si>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</si>
  <si>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</si>
  <si>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</si>
  <si>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</si>
  <si>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</si>
  <si>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</si>
  <si>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</si>
  <si>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</si>
  <si>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</si>
  <si>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</si>
  <si>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</si>
  <si>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</si>
  <si>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</si>
  <si>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</si>
  <si>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</si>
  <si>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</si>
  <si>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</si>
  <si>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</si>
  <si>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</si>
  <si>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</si>
  <si>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</si>
  <si>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</si>
  <si>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</si>
  <si>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</si>
  <si>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</si>
  <si>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</si>
  <si>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</si>
  <si>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</si>
  <si>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</si>
  <si>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</si>
  <si>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</si>
  <si>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</si>
  <si>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</si>
  <si>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</si>
  <si>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</si>
  <si>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</si>
  <si>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</si>
  <si>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</si>
  <si>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</si>
  <si>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</si>
  <si>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</si>
  <si>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</si>
  <si>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</si>
  <si>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</si>
  <si>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</si>
  <si>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</si>
  <si>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</si>
  <si>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</si>
  <si>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</si>
  <si>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</si>
  <si>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</si>
  <si>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</si>
  <si>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</si>
  <si>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</si>
  <si>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</si>
  <si>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</si>
  <si>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</si>
  <si>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</si>
  <si>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</si>
  <si>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</si>
  <si>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</si>
  <si>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</si>
  <si>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</si>
  <si>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</si>
  <si>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</si>
  <si>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</si>
  <si>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</si>
  <si>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</si>
  <si>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</si>
  <si>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</si>
  <si>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</si>
  <si>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</si>
  <si>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</si>
  <si>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</si>
  <si>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</si>
  <si>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</si>
  <si>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</si>
  <si>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</si>
  <si>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</si>
  <si>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</si>
  <si>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</si>
  <si>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</si>
  <si>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</si>
  <si>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</si>
  <si>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</si>
  <si>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</si>
  <si>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</si>
  <si>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</si>
  <si>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</si>
  <si>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</si>
  <si>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</si>
  <si>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</si>
  <si>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</si>
  <si>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</si>
  <si>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</si>
  <si>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</si>
  <si>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</si>
  <si>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</si>
  <si>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</si>
  <si>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</si>
  <si>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</si>
  <si>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</si>
  <si>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</si>
  <si>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</si>
  <si>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</si>
  <si>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</si>
  <si>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</si>
  <si>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</si>
  <si>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</si>
  <si>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</si>
  <si>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</si>
  <si>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</si>
  <si>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</si>
  <si>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</si>
  <si>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</si>
  <si>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</si>
  <si>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</si>
  <si>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</si>
  <si>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</si>
  <si>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</si>
  <si>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</si>
  <si>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</si>
  <si>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</si>
  <si>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</si>
  <si>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</si>
  <si>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</si>
  <si>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</si>
  <si>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</si>
  <si>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</si>
  <si>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</si>
  <si>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</si>
  <si>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</si>
  <si>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</si>
  <si>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</si>
  <si>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</si>
  <si>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</si>
  <si>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</si>
  <si>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</si>
  <si>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</si>
  <si>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</si>
  <si>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</si>
  <si>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</si>
  <si>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</si>
  <si>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</si>
  <si>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</si>
  <si>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</si>
  <si>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</si>
  <si>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</si>
  <si>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</si>
  <si>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</si>
  <si>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</si>
  <si>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</si>
  <si>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</si>
  <si>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</si>
  <si>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</si>
  <si>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</si>
  <si>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</si>
  <si>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</si>
  <si>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</si>
  <si>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</si>
  <si>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</si>
  <si>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</si>
  <si>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</si>
  <si>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</si>
  <si>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</si>
  <si>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</si>
  <si>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</si>
  <si>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</si>
  <si>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</si>
  <si>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</si>
  <si>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</si>
  <si>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</si>
  <si>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</si>
  <si>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</si>
  <si>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</si>
  <si>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</si>
  <si>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</si>
  <si>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</si>
  <si>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</si>
  <si>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</si>
  <si>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</si>
  <si>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</si>
  <si>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</si>
  <si>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</si>
  <si>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</si>
  <si>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</si>
  <si>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</si>
  <si>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</si>
  <si>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</si>
  <si>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</si>
  <si>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</si>
  <si>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</si>
  <si>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</si>
  <si>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</si>
  <si>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</si>
  <si>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</si>
  <si>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</si>
  <si>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</si>
  <si>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</si>
  <si>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</si>
  <si>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</si>
  <si>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</si>
  <si>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</si>
  <si>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</si>
  <si>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</si>
  <si>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</si>
  <si>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</si>
  <si>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</si>
  <si>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</si>
  <si>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</si>
  <si>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</si>
  <si>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</si>
  <si>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</si>
  <si>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</si>
  <si>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</si>
  <si>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</si>
  <si>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</si>
  <si>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</si>
  <si>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</si>
  <si>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</si>
  <si>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</si>
  <si>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</si>
  <si>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</si>
  <si>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</si>
  <si>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</si>
  <si>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</si>
  <si>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</si>
  <si>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</si>
  <si>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</si>
  <si>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</si>
  <si>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</si>
  <si>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</si>
  <si>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</si>
  <si>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</si>
  <si>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</si>
  <si>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</si>
  <si>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</si>
  <si>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</si>
  <si>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</si>
  <si>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</si>
  <si>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</si>
  <si>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</si>
  <si>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</si>
  <si>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</si>
  <si>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</si>
  <si>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</si>
  <si>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</si>
  <si>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</si>
  <si>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</si>
  <si>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</si>
  <si>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</si>
  <si>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</si>
  <si>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</si>
  <si>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</si>
  <si>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</si>
  <si>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</si>
  <si>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</si>
  <si>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</si>
  <si>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</si>
  <si>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</si>
  <si>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</si>
  <si>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</si>
  <si>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</si>
  <si>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</si>
  <si>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</si>
  <si>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</si>
  <si>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</si>
  <si>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</si>
  <si>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</si>
  <si>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</si>
  <si>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</si>
  <si>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</si>
  <si>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</si>
  <si>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</si>
  <si>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</si>
  <si>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</si>
  <si>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</si>
  <si>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</si>
  <si>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</si>
  <si>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</si>
  <si>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</si>
  <si>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</si>
  <si>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</si>
  <si>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</si>
  <si>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</si>
  <si>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</si>
  <si>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</si>
  <si>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</si>
  <si>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</si>
  <si>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</si>
  <si>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</si>
  <si>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</si>
  <si>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</si>
  <si>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</si>
  <si>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</si>
  <si>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</si>
  <si>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</si>
  <si>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</si>
  <si>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</si>
  <si>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</si>
  <si>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</si>
  <si>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</si>
  <si>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</si>
  <si>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</si>
  <si>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</si>
  <si>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</si>
  <si>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</si>
  <si>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</si>
  <si>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</si>
  <si>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</si>
  <si>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</si>
  <si>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</si>
  <si>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</si>
  <si>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</si>
  <si>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</si>
  <si>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</si>
  <si>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</si>
  <si>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</si>
  <si>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</si>
  <si>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</si>
  <si>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</si>
  <si>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</si>
  <si>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</si>
  <si>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</si>
  <si>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</si>
  <si>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</si>
  <si>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</si>
  <si>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</si>
  <si>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</si>
  <si>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</si>
  <si>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</si>
  <si>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</si>
  <si>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</si>
  <si>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</si>
  <si>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</si>
  <si>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</si>
  <si>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</si>
  <si>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</si>
  <si>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</si>
  <si>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</si>
  <si>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</si>
  <si>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</si>
  <si>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</si>
  <si>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</si>
  <si>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</si>
  <si>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</si>
  <si>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</si>
  <si>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</si>
  <si>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</si>
  <si>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</si>
  <si>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</si>
  <si>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</si>
  <si>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</si>
  <si>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</si>
  <si>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</si>
  <si>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</si>
  <si>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</si>
  <si>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</si>
  <si>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</si>
  <si>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</si>
  <si>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</si>
  <si>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</si>
  <si>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</si>
  <si>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</si>
  <si>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</si>
  <si>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</si>
  <si>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</si>
  <si>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</si>
  <si>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</si>
  <si>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</si>
  <si>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</si>
  <si>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</si>
  <si>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</si>
  <si>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</si>
  <si>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</si>
  <si>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</si>
  <si>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</si>
  <si>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</si>
  <si>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</si>
  <si>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</si>
  <si>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</si>
  <si>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</si>
  <si>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</si>
  <si>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</si>
  <si>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</si>
  <si>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</si>
  <si>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</si>
  <si>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</si>
  <si>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</si>
  <si>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</si>
  <si>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</si>
  <si>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</si>
  <si>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</si>
  <si>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</si>
  <si>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</si>
  <si>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</si>
  <si>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</si>
  <si>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</si>
  <si>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</si>
  <si>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</si>
  <si>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</si>
  <si>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</si>
  <si>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</si>
  <si>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</si>
  <si>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</si>
  <si>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</si>
  <si>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</si>
  <si>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</si>
  <si>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</si>
  <si>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</si>
  <si>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</si>
  <si>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</si>
  <si>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</si>
  <si>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</si>
  <si>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</si>
  <si>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</si>
  <si>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</si>
  <si>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</si>
  <si>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</si>
  <si>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</si>
  <si>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</si>
  <si>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</si>
  <si>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</si>
  <si>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</si>
  <si>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</si>
  <si>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</si>
  <si>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</si>
  <si>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</si>
  <si>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</si>
  <si>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</si>
  <si>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</si>
  <si>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</si>
  <si>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</si>
  <si>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</si>
  <si>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</si>
  <si>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</si>
  <si>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</si>
  <si>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</si>
  <si>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</si>
  <si>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</si>
  <si>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</si>
  <si>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</si>
  <si>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</si>
  <si>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</si>
  <si>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</si>
  <si>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</si>
  <si>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</si>
  <si>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</si>
  <si>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</si>
  <si>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</si>
  <si>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</si>
  <si>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</si>
  <si>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</si>
  <si>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</si>
  <si>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</si>
  <si>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</si>
  <si>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</si>
  <si>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</si>
  <si>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</si>
  <si>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</si>
  <si>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</si>
  <si>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</si>
  <si>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</si>
  <si>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</si>
  <si>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</si>
  <si>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</si>
  <si>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</si>
  <si>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</si>
  <si>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</si>
  <si>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</si>
  <si>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</si>
  <si>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</si>
  <si>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</si>
  <si>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</si>
  <si>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</si>
  <si>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</si>
  <si>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</si>
  <si>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</si>
  <si>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</si>
  <si>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</si>
  <si>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</si>
  <si>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</si>
  <si>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</si>
  <si>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</si>
  <si>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</si>
  <si>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</si>
  <si>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</si>
  <si>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</si>
  <si>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</si>
  <si>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</si>
  <si>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</si>
  <si>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</si>
  <si>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</si>
  <si>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</si>
  <si>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</si>
  <si>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</si>
  <si>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</si>
  <si>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</si>
  <si>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</si>
  <si>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</si>
  <si>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</si>
  <si>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</si>
  <si>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</si>
  <si>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</si>
  <si>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</si>
  <si>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</si>
  <si>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</si>
  <si>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</si>
  <si>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</si>
  <si>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</si>
  <si>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</si>
  <si>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</si>
  <si>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</si>
  <si>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</si>
  <si>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</si>
  <si>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</si>
  <si>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</si>
  <si>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</si>
  <si>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</si>
  <si>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</si>
  <si>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</si>
  <si>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</si>
  <si>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</si>
  <si>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</si>
  <si>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</si>
  <si>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</si>
  <si>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</si>
  <si>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</si>
  <si>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</si>
  <si>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</si>
  <si>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</si>
  <si>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</si>
  <si>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</si>
  <si>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</si>
  <si>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</si>
  <si>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</si>
  <si>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</si>
  <si>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</si>
  <si>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</si>
  <si>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</si>
  <si>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</si>
  <si>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</si>
  <si>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</si>
  <si>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</si>
  <si>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</si>
  <si>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</si>
  <si>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</si>
  <si>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</si>
  <si>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</si>
  <si>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</si>
  <si>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</si>
  <si>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</si>
  <si>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</si>
  <si>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</si>
  <si>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</si>
  <si>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</si>
  <si>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</si>
  <si>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</si>
  <si>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</si>
  <si>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</si>
  <si>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</si>
  <si>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</si>
  <si>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</si>
  <si>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</si>
  <si>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</si>
  <si>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</si>
  <si>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</si>
  <si>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</si>
  <si>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</si>
  <si>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</si>
  <si>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</si>
  <si>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</si>
  <si>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</si>
  <si>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</si>
  <si>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</si>
  <si>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</si>
  <si>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</si>
  <si>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</si>
  <si>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</si>
  <si>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</si>
  <si>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</si>
  <si>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</si>
  <si>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</si>
  <si>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</si>
  <si>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</si>
  <si>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</si>
  <si>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</si>
  <si>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</si>
  <si>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</si>
  <si>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</si>
  <si>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</si>
  <si>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</si>
  <si>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</si>
  <si>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</si>
  <si>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</si>
  <si>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</si>
  <si>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</si>
  <si>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</si>
  <si>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</si>
  <si>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</si>
  <si>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</si>
  <si>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</si>
  <si>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</si>
  <si>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</si>
  <si>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</si>
  <si>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</si>
  <si>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</si>
  <si>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</si>
  <si>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</si>
  <si>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</si>
  <si>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</si>
  <si>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</si>
  <si>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</si>
  <si>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</si>
  <si>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</si>
  <si>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</si>
  <si>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</si>
  <si>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</si>
  <si>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</si>
  <si>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</si>
  <si>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</si>
  <si>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</si>
  <si>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</si>
  <si>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</si>
  <si>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</si>
  <si>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</si>
  <si>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</si>
  <si>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</si>
  <si>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</si>
  <si>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</si>
  <si>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</si>
  <si>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</si>
  <si>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</si>
  <si>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</si>
  <si>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</si>
  <si>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</si>
  <si>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</si>
  <si>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</si>
  <si>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</si>
  <si>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</si>
  <si>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</si>
  <si>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</si>
  <si>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</si>
  <si>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</si>
  <si>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</si>
  <si>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</si>
  <si>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</si>
  <si>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</si>
  <si>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</si>
  <si>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</si>
  <si>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</si>
  <si>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</si>
  <si>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</si>
  <si>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</si>
  <si>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</si>
  <si>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</si>
  <si>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</si>
  <si>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</si>
  <si>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</si>
  <si>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</si>
  <si>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</si>
  <si>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</si>
  <si>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</si>
  <si>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</si>
  <si>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</si>
  <si>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</si>
  <si>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</si>
  <si>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</si>
  <si>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</si>
  <si>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</si>
  <si>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</si>
  <si>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</si>
  <si>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</si>
  <si>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</si>
  <si>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</si>
  <si>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</si>
  <si>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</si>
  <si>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</si>
  <si>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</si>
  <si>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</si>
  <si>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</si>
  <si>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</si>
  <si>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</si>
  <si>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</si>
  <si>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</si>
  <si>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</si>
  <si>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</si>
  <si>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</si>
  <si>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</si>
  <si>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</si>
  <si>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</si>
  <si>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</si>
  <si>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</si>
  <si>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</si>
  <si>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</si>
  <si>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</si>
  <si>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</si>
  <si>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</si>
  <si>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</si>
  <si>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</si>
  <si>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</si>
  <si>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</si>
  <si>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</si>
  <si>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</si>
  <si>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</si>
  <si>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</si>
  <si>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</si>
  <si>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</si>
  <si>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</si>
  <si>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</si>
  <si>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</si>
  <si>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</si>
  <si>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</si>
  <si>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</si>
  <si>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</si>
  <si>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</si>
  <si>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</si>
  <si>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</si>
  <si>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</si>
  <si>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</si>
  <si>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</si>
  <si>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</si>
  <si>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</si>
  <si>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</si>
  <si>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</si>
  <si>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</si>
  <si>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</si>
  <si>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</si>
  <si>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</si>
  <si>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</si>
  <si>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</si>
  <si>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</si>
  <si>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</si>
  <si>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</si>
  <si>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</si>
  <si>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</si>
  <si>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</si>
  <si>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</si>
  <si>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</si>
  <si>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</si>
  <si>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</si>
  <si>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</si>
  <si>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</si>
  <si>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</si>
  <si>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</si>
  <si>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</si>
  <si>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</si>
  <si>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</si>
  <si>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</si>
  <si>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</si>
  <si>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</si>
  <si>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</si>
  <si>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</si>
  <si>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</si>
  <si>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</si>
  <si>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</si>
  <si>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</si>
  <si>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</si>
  <si>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</si>
  <si>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</si>
  <si>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</si>
  <si>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</si>
  <si>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</si>
  <si>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</si>
  <si>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</si>
  <si>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</si>
  <si>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</si>
  <si>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</si>
  <si>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</si>
  <si>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</si>
  <si>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</si>
  <si>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</si>
  <si>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</si>
  <si>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</si>
  <si>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</si>
  <si>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</si>
  <si>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</si>
  <si>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</si>
  <si>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</si>
  <si>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</si>
  <si>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</si>
  <si>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</si>
  <si>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</si>
  <si>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</si>
  <si>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</si>
  <si>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</si>
  <si>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</si>
  <si>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</si>
  <si>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</si>
  <si>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</si>
  <si>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</si>
  <si>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</si>
  <si>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</si>
  <si>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</si>
  <si>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</si>
  <si>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</si>
  <si>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</si>
  <si>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</si>
  <si>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</si>
  <si>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</si>
  <si>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</si>
  <si>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</si>
  <si>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</si>
  <si>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</si>
  <si>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</si>
  <si>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</si>
  <si>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</si>
  <si>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</si>
  <si>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</si>
  <si>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</si>
  <si>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</si>
  <si>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</si>
  <si>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</si>
  <si>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</si>
  <si>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</si>
  <si>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</si>
  <si>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</si>
  <si>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</si>
  <si>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</si>
  <si>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</si>
  <si>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</si>
  <si>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</si>
  <si>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</si>
  <si>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</si>
  <si>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</si>
  <si>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</si>
  <si>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</si>
  <si>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</si>
  <si>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</si>
  <si>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</si>
  <si>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</si>
  <si>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</si>
  <si>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</si>
  <si>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</si>
  <si>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</si>
  <si>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</si>
  <si>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</si>
  <si>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</si>
  <si>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</si>
  <si>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</si>
  <si>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</si>
  <si>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</si>
  <si>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</si>
  <si>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</si>
  <si>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</si>
  <si>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</si>
  <si>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</si>
  <si>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</si>
  <si>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</si>
  <si>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</si>
  <si>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</si>
  <si>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</si>
  <si>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</si>
  <si>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</si>
  <si>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</si>
  <si>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</si>
  <si>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</si>
  <si>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</si>
  <si>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</si>
  <si>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</si>
  <si>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</si>
  <si>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</si>
  <si>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</si>
  <si>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</si>
  <si>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</si>
  <si>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</si>
  <si>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</si>
  <si>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</si>
  <si>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</si>
  <si>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</si>
  <si>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</si>
  <si>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</si>
  <si>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</si>
  <si>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</si>
  <si>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</si>
  <si>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</si>
  <si>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</si>
  <si>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</si>
  <si>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</si>
  <si>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</si>
  <si>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</si>
  <si>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</si>
  <si>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</si>
  <si>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</si>
  <si>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</si>
  <si>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</si>
  <si>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</si>
  <si>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</si>
  <si>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</si>
  <si>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</si>
  <si>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</si>
  <si>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</si>
  <si>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</si>
  <si>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</si>
  <si>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</si>
  <si>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</si>
  <si>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</si>
  <si>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</si>
  <si>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</si>
  <si>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</si>
  <si>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</si>
  <si>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</si>
  <si>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</si>
  <si>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</si>
  <si>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</si>
  <si>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</si>
  <si>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</si>
  <si>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</si>
  <si>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</si>
  <si>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</si>
  <si>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</si>
  <si>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</si>
  <si>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</si>
  <si>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</si>
  <si>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</si>
  <si>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</si>
  <si>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</si>
  <si>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</si>
  <si>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</si>
  <si>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</si>
  <si>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</si>
  <si>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</si>
  <si>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</si>
  <si>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</si>
  <si>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</si>
  <si>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</si>
  <si>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</si>
  <si>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</si>
  <si>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</si>
  <si>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</si>
  <si>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</si>
  <si>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</si>
  <si>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</si>
  <si>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</si>
  <si>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</si>
  <si>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</si>
  <si>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</si>
  <si>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</si>
  <si>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</si>
  <si>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</si>
  <si>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</si>
  <si>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</si>
  <si>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</si>
  <si>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</si>
  <si>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</si>
  <si>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</si>
  <si>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</si>
  <si>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</si>
  <si>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</si>
  <si>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</si>
  <si>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</si>
  <si>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</si>
  <si>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</si>
  <si>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</si>
  <si>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</si>
  <si>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</si>
  <si>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</si>
  <si>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</si>
  <si>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</si>
  <si>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</si>
  <si>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</si>
  <si>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</si>
  <si>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</si>
  <si>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</si>
  <si>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</si>
  <si>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</si>
  <si>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</si>
  <si>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</si>
  <si>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</si>
  <si>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</si>
  <si>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</si>
  <si>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</si>
  <si>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</si>
  <si>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</si>
  <si>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</si>
  <si>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</si>
  <si>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</si>
  <si>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</si>
  <si>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</si>
  <si>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</si>
  <si>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</si>
  <si>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</si>
  <si>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</si>
  <si>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</si>
  <si>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</si>
  <si>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</si>
  <si>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</si>
  <si>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</si>
  <si>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</si>
  <si>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</si>
  <si>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</si>
  <si>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</si>
  <si>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</si>
  <si>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</si>
  <si>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</si>
  <si>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</si>
  <si>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</si>
  <si>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</si>
  <si>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</si>
  <si>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</si>
  <si>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</si>
  <si>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</si>
  <si>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</si>
  <si>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</si>
  <si>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</si>
  <si>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</si>
  <si>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</si>
  <si>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</si>
  <si>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</si>
  <si>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</si>
  <si>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</si>
  <si>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</si>
  <si>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</si>
  <si>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</si>
  <si>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</si>
  <si>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</si>
  <si>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</si>
  <si>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</si>
  <si>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</si>
  <si>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</si>
  <si>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</si>
  <si>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</si>
  <si>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</si>
  <si>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</si>
  <si>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</si>
  <si>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</si>
  <si>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</si>
  <si>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</si>
  <si>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</si>
  <si>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</si>
  <si>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</si>
  <si>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</si>
  <si>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</si>
  <si>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</si>
  <si>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</si>
  <si>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</si>
  <si>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</si>
  <si>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</si>
  <si>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</si>
  <si>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</si>
  <si>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</si>
  <si>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</si>
  <si>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</si>
  <si>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</si>
  <si>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</si>
  <si>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</si>
  <si>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</si>
  <si>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</si>
  <si>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</si>
  <si>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</si>
  <si>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</si>
  <si>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</si>
  <si>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</si>
  <si>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</si>
  <si>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</si>
  <si>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</si>
  <si>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</si>
  <si>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</si>
  <si>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</si>
  <si>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</si>
  <si>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</si>
  <si>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</si>
  <si>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</si>
  <si>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</si>
  <si>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</si>
  <si>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</si>
  <si>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</si>
  <si>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</si>
  <si>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</si>
  <si>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</si>
  <si>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</si>
  <si>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</si>
  <si>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</si>
  <si>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</si>
  <si>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</si>
  <si>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</si>
  <si>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</si>
  <si>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</si>
  <si>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</si>
  <si>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</si>
  <si>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</si>
  <si>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</si>
  <si>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</si>
  <si>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</si>
  <si>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</si>
  <si>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</si>
  <si>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</si>
  <si>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</si>
  <si>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</si>
  <si>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</si>
  <si>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</si>
  <si>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</si>
  <si>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</si>
  <si>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</si>
  <si>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</si>
  <si>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</si>
  <si>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</si>
  <si>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</si>
  <si>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</si>
  <si>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</si>
  <si>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</si>
  <si>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</si>
  <si>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</si>
  <si>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</si>
  <si>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</si>
  <si>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</si>
  <si>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</si>
  <si>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</si>
  <si>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</si>
  <si>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</si>
  <si>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</si>
  <si>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</si>
  <si>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</si>
  <si>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</si>
  <si>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</si>
  <si>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</si>
  <si>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</si>
  <si>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</si>
  <si>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</si>
  <si>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</si>
  <si>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</si>
  <si>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</si>
  <si>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</si>
  <si>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</si>
  <si>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</si>
  <si>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</si>
  <si>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</si>
  <si>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</si>
  <si>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</si>
  <si>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</si>
  <si>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</si>
  <si>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</si>
  <si>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</si>
  <si>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</si>
  <si>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</si>
  <si>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</si>
  <si>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</si>
  <si>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</si>
  <si>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</si>
  <si>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</si>
  <si>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</si>
  <si>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</si>
  <si>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</si>
  <si>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</si>
  <si>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</si>
  <si>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</si>
  <si>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</si>
  <si>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</si>
  <si>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</si>
  <si>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</si>
  <si>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</si>
  <si>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</si>
  <si>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</si>
  <si>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</si>
  <si>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</si>
  <si>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</si>
  <si>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</si>
  <si>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</si>
  <si>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</si>
  <si>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</si>
  <si>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</si>
  <si>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</si>
  <si>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</si>
  <si>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</si>
  <si>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</si>
  <si>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</si>
  <si>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</si>
  <si>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</si>
  <si>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</si>
  <si>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</si>
  <si>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</si>
  <si>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</si>
  <si>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</si>
  <si>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</si>
  <si>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</si>
  <si>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</si>
  <si>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</si>
  <si>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</si>
  <si>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</si>
  <si>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</si>
  <si>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</si>
  <si>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</si>
  <si>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</si>
  <si>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</si>
  <si>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</si>
  <si>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</si>
  <si>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</si>
  <si>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</si>
  <si>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</si>
  <si>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</si>
  <si>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</si>
  <si>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</si>
  <si>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</si>
  <si>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</si>
  <si>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</si>
  <si>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</si>
  <si>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</si>
  <si>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</si>
  <si>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</si>
  <si>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</si>
  <si>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</si>
  <si>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</si>
  <si>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</si>
  <si>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</si>
  <si>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</si>
  <si>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</si>
  <si>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</si>
  <si>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</si>
  <si>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</si>
  <si>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</si>
  <si>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</si>
  <si>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</si>
  <si>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</si>
  <si>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</si>
  <si>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</si>
  <si>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</si>
  <si>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</si>
  <si>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</si>
  <si>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</si>
  <si>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</si>
  <si>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</si>
  <si>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</si>
  <si>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</si>
  <si>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</si>
  <si>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</si>
  <si>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</si>
  <si>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</si>
  <si>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</si>
  <si>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</si>
  <si>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</si>
  <si>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</si>
  <si>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</si>
  <si>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</si>
  <si>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</si>
  <si>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</si>
  <si>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</si>
  <si>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</si>
  <si>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</si>
  <si>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</si>
  <si>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</si>
  <si>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</si>
  <si>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</si>
  <si>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</si>
  <si>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</si>
  <si>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</si>
  <si>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</si>
  <si>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</si>
  <si>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</si>
  <si>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</si>
  <si>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</si>
  <si>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</si>
  <si>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</si>
  <si>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</si>
  <si>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</si>
  <si>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</si>
  <si>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</si>
  <si>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</si>
  <si>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</si>
  <si>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</si>
  <si>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</si>
  <si>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</si>
  <si>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</si>
  <si>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</si>
  <si>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</si>
  <si>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</si>
  <si>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</si>
  <si>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</si>
  <si>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</si>
  <si>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</si>
  <si>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</si>
  <si>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</si>
  <si>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</si>
  <si>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</si>
  <si>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</si>
  <si>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</si>
  <si>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</si>
  <si>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</si>
  <si>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</si>
  <si>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</si>
  <si>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</si>
  <si>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</si>
  <si>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</si>
  <si>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</si>
  <si>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</si>
  <si>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</si>
  <si>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</si>
  <si>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</si>
  <si>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</si>
  <si>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</si>
  <si>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</si>
  <si>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</si>
  <si>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</si>
  <si>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</si>
  <si>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</si>
  <si>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</si>
  <si>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</si>
  <si>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</si>
  <si>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</si>
  <si>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</si>
  <si>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</si>
  <si>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</si>
  <si>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</si>
  <si>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</si>
  <si>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</si>
  <si>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</si>
  <si>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</si>
  <si>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</si>
  <si>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</si>
  <si>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</si>
  <si>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</si>
  <si>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</si>
  <si>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</si>
  <si>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</si>
  <si>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</si>
  <si>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</si>
  <si>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</si>
  <si>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</si>
  <si>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</si>
  <si>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</si>
  <si>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</si>
  <si>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</si>
  <si>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</si>
  <si>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</si>
  <si>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</si>
  <si>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</si>
  <si>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</si>
  <si>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</si>
  <si>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</si>
  <si>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</si>
  <si>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</si>
  <si>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</si>
  <si>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</si>
  <si>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</si>
  <si>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</si>
  <si>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</si>
  <si>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</si>
  <si>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</si>
  <si>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</si>
  <si>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</si>
  <si>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</si>
  <si>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</si>
  <si>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</si>
  <si>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</si>
  <si>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</si>
  <si>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</si>
  <si>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</si>
  <si>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</si>
  <si>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</si>
  <si>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</si>
  <si>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</si>
  <si>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</si>
  <si>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</si>
  <si>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</si>
  <si>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</si>
  <si>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</si>
  <si>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</si>
  <si>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</si>
  <si>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</si>
  <si>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</si>
  <si>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</si>
  <si>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</si>
  <si>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</si>
  <si>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</si>
  <si>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</si>
  <si>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</si>
  <si>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</si>
  <si>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</si>
  <si>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</si>
  <si>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</si>
  <si>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</si>
  <si>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</si>
  <si>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</si>
  <si>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</si>
  <si>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</si>
  <si>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</si>
  <si>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</si>
  <si>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</si>
  <si>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</si>
  <si>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</si>
  <si>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</si>
  <si>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</si>
  <si>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</si>
  <si>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</si>
  <si>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</si>
  <si>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</si>
  <si>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</si>
  <si>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</si>
  <si>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</si>
  <si>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</si>
  <si>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</si>
  <si>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</si>
  <si>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</si>
  <si>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</si>
  <si>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</si>
  <si>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</si>
  <si>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</si>
  <si>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</si>
  <si>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</si>
  <si>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</si>
  <si>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</si>
  <si>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</si>
  <si>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</si>
  <si>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</si>
  <si>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</si>
  <si>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</si>
  <si>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</si>
  <si>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</si>
  <si>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</si>
  <si>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</si>
  <si>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</si>
  <si>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</si>
  <si>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</si>
  <si>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</si>
  <si>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</si>
  <si>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</si>
  <si>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</si>
  <si>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</si>
  <si>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</si>
  <si>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</si>
  <si>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</si>
  <si>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</si>
  <si>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</si>
  <si>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</si>
  <si>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</si>
  <si>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</si>
  <si>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</si>
  <si>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</si>
  <si>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</si>
  <si>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</si>
  <si>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</si>
  <si>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</si>
  <si>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</si>
  <si>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</si>
  <si>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</si>
  <si>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</si>
  <si>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</si>
  <si>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</si>
  <si>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</si>
  <si>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</si>
  <si>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</si>
  <si>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</si>
  <si>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</si>
  <si>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</si>
  <si>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</si>
  <si>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</si>
  <si>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</si>
  <si>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</si>
  <si>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</si>
  <si>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</si>
  <si>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</si>
  <si>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</si>
  <si>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</si>
  <si>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</si>
  <si>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</si>
  <si>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</si>
  <si>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</si>
  <si>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</si>
  <si>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</si>
  <si>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</si>
  <si>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</si>
  <si>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</si>
  <si>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</si>
  <si>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</si>
  <si>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</si>
  <si>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</si>
  <si>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</si>
  <si>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</si>
  <si>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</si>
  <si>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</si>
  <si>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</si>
  <si>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</si>
  <si>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</si>
  <si>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</si>
  <si>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</si>
  <si>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</si>
  <si>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</si>
  <si>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</si>
  <si>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</si>
  <si>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</si>
  <si>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</si>
  <si>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</si>
  <si>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</si>
  <si>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</si>
  <si>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</si>
  <si>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</si>
  <si>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</si>
  <si>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</si>
  <si>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</si>
  <si>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</si>
  <si>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</si>
  <si>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</si>
  <si>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</si>
  <si>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</si>
  <si>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</si>
  <si>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</si>
  <si>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</si>
  <si>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</si>
  <si>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</si>
  <si>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</si>
  <si>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</si>
  <si>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</si>
  <si>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</si>
  <si>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</si>
  <si>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</si>
  <si>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</si>
  <si>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</si>
  <si>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Santa Rosa Roseland Avenue LP</t>
  </si>
  <si>
    <t xml:space="preserve">Ponderosa Village </t>
  </si>
  <si>
    <t>City of Santa Rosa</t>
  </si>
  <si>
    <t xml:space="preserve">Maraskeshia Smith </t>
  </si>
  <si>
    <t>100 Santa Rosa Avenue Room 10</t>
  </si>
  <si>
    <t>Santa Rosa</t>
  </si>
  <si>
    <t>CMOffice@srcity.org</t>
  </si>
  <si>
    <t xml:space="preserve">250 Roseland Ave </t>
  </si>
  <si>
    <t xml:space="preserve">Santa Rosa </t>
  </si>
  <si>
    <t>40%/60%</t>
  </si>
  <si>
    <t xml:space="preserve">5251 Ericson Way </t>
  </si>
  <si>
    <t xml:space="preserve">Arcata </t>
  </si>
  <si>
    <t>CA</t>
  </si>
  <si>
    <t xml:space="preserve">Chris Dart </t>
  </si>
  <si>
    <t>cdart@danco-group.com</t>
  </si>
  <si>
    <t>Santa Rosa Roseland Avenue LLC</t>
  </si>
  <si>
    <t>Administrative GP</t>
  </si>
  <si>
    <t>Arcata</t>
  </si>
  <si>
    <t>Chris Dart</t>
  </si>
  <si>
    <t>Community Revitalization and Development Corporation</t>
  </si>
  <si>
    <t xml:space="preserve">1918 West Street </t>
  </si>
  <si>
    <t>Managing GP</t>
  </si>
  <si>
    <t>Redding</t>
  </si>
  <si>
    <t xml:space="preserve">David Rutledge </t>
  </si>
  <si>
    <t>david@crdc-housing.org</t>
  </si>
  <si>
    <t>Johnson &amp; Johnson Investments, LLC</t>
  </si>
  <si>
    <t xml:space="preserve">Danco Communities </t>
  </si>
  <si>
    <t>Hailey Wilson</t>
  </si>
  <si>
    <t xml:space="preserve">hwilson@danco-group.com </t>
  </si>
  <si>
    <t xml:space="preserve">Developer </t>
  </si>
  <si>
    <t>Arcata CA, 95521</t>
  </si>
  <si>
    <t>DGA Group Architecture</t>
  </si>
  <si>
    <t>430 E. State Street, Suite 100</t>
  </si>
  <si>
    <t>Eagle, ID 93616</t>
  </si>
  <si>
    <t>Doug Gibson</t>
  </si>
  <si>
    <t>208-908-4871</t>
  </si>
  <si>
    <t>douglasg@tpchousing.com</t>
  </si>
  <si>
    <t>Odu &amp; Associates</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</si>
  <si>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</si>
  <si>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</si>
  <si>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</si>
  <si>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</si>
  <si>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</si>
  <si>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</si>
  <si>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</si>
  <si>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</si>
  <si>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</si>
  <si>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</si>
  <si>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</si>
  <si>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Danco Builders Northwest</t>
  </si>
  <si>
    <t>5251 Ericson Way</t>
  </si>
  <si>
    <t>Arcata, CA 95521</t>
  </si>
  <si>
    <t>(707) 825-1531</t>
  </si>
  <si>
    <t>(707) 822-9596</t>
  </si>
  <si>
    <t>Redwood Energy</t>
  </si>
  <si>
    <t>1887 Q Street</t>
  </si>
  <si>
    <t>Sean Armstrong</t>
  </si>
  <si>
    <t>(707) 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</si>
  <si>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</si>
  <si>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</si>
  <si>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</si>
  <si>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</si>
  <si>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</si>
  <si>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</si>
  <si>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</si>
  <si>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</si>
  <si>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</si>
  <si>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</si>
  <si>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</si>
  <si>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</si>
  <si>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</si>
  <si>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</si>
  <si>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</si>
  <si>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</si>
  <si>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</si>
  <si>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707-822-9596</t>
  </si>
  <si>
    <t>blairbrown@danco-group.com</t>
  </si>
  <si>
    <t>Diane A Trembley Trust</t>
  </si>
  <si>
    <t>Other (Specify below)</t>
  </si>
  <si>
    <t xml:space="preserve">3 Story Garden </t>
  </si>
  <si>
    <t>Multifamily Residential</t>
  </si>
  <si>
    <t>R-3-18</t>
  </si>
  <si>
    <t>18 units/acre</t>
  </si>
  <si>
    <t xml:space="preserve">Roseland Regional Library </t>
  </si>
  <si>
    <t>470 Sebastopol Rd</t>
  </si>
  <si>
    <t>Santa Rosa, 995407</t>
  </si>
  <si>
    <t>Rosalie ABBOTT</t>
  </si>
  <si>
    <t>https://sonomalibrary.org/visit/locations/roseland</t>
  </si>
  <si>
    <t>.23 miles</t>
  </si>
  <si>
    <t xml:space="preserve">CVS Pharmacy </t>
  </si>
  <si>
    <t>463 Stony Point Rd</t>
  </si>
  <si>
    <t>Santa Rosa, 95401</t>
  </si>
  <si>
    <t>https://www.cvs.com/store-locator/santa-rosa-ca-pharmacies/463-stony-point-rd-santa-rosa-ca-95401/storeid=9946?WT.mc_id=LS_GOOGLE_FS_9946</t>
  </si>
  <si>
    <t>.71 miles</t>
  </si>
  <si>
    <t>131 Stony Circle Care Center</t>
  </si>
  <si>
    <t>131-B Stony Cir #1600</t>
  </si>
  <si>
    <t>https://www.sutterhealth.org/find-location/facility/131-stony-circle-care-center-1043247073</t>
  </si>
  <si>
    <t xml:space="preserve">Roseland Elementary </t>
  </si>
  <si>
    <t>950 Sebastopol Rd</t>
  </si>
  <si>
    <t>Santa Rosa, 95407</t>
  </si>
  <si>
    <t>https://www.roselandsd.org/</t>
  </si>
  <si>
    <t>Foodmaxx</t>
  </si>
  <si>
    <t>2055 Sebastopol Rd</t>
  </si>
  <si>
    <t xml:space="preserve">Jennifer Freitas </t>
  </si>
  <si>
    <t>https://foodmaxx.com/stores/469</t>
  </si>
  <si>
    <t xml:space="preserve">Sebastopol Rd at West Ave Bus Stop </t>
  </si>
  <si>
    <t>(707) 543-3333</t>
  </si>
  <si>
    <t>https://srcitybus.org/routes/sebastopol-road/</t>
  </si>
  <si>
    <t xml:space="preserve">Bayer Park and Gardens </t>
  </si>
  <si>
    <t>1550 West Ave</t>
  </si>
  <si>
    <t xml:space="preserve">July </t>
  </si>
  <si>
    <t>Daniel J. Johnson</t>
  </si>
  <si>
    <t>Member</t>
  </si>
  <si>
    <t>125-043-002</t>
  </si>
  <si>
    <t>IIG</t>
  </si>
  <si>
    <t>Citi Bank Construction Loan</t>
  </si>
  <si>
    <t>Boston Financial Tax Credit Equity</t>
  </si>
  <si>
    <t>Fixed</t>
  </si>
  <si>
    <t>Two Embarcadero Center, 17th Floor</t>
  </si>
  <si>
    <t>San Francisco, CA 94111</t>
  </si>
  <si>
    <t>Jacob St. Onge</t>
  </si>
  <si>
    <t>415-658-3118</t>
  </si>
  <si>
    <t>Construction Loan</t>
  </si>
  <si>
    <t xml:space="preserve">8335 Sunset Blvd, Ste 203 </t>
  </si>
  <si>
    <t>Equity</t>
  </si>
  <si>
    <t xml:space="preserve">Citi Bank </t>
  </si>
  <si>
    <t>Developer Fee</t>
  </si>
  <si>
    <t xml:space="preserve">Solar Tax Credits </t>
  </si>
  <si>
    <t xml:space="preserve">City of Santa Rosa </t>
  </si>
  <si>
    <t xml:space="preserve">Equity </t>
  </si>
  <si>
    <t xml:space="preserve">90 Santa Rosa Avenue </t>
  </si>
  <si>
    <t>Santa Rosa, CA</t>
  </si>
  <si>
    <t>Rebecca Lane</t>
  </si>
  <si>
    <t xml:space="preserve">Soft Financing </t>
  </si>
  <si>
    <t>2020 W. El Camino Avenue Suite 130</t>
  </si>
  <si>
    <t>Sacramento, CA 95833</t>
  </si>
  <si>
    <t>Michael White</t>
  </si>
  <si>
    <t>Soft</t>
  </si>
  <si>
    <t>CUAC</t>
  </si>
  <si>
    <t>California Utility Allowance Calculator</t>
  </si>
  <si>
    <t>Inspection Fees</t>
  </si>
  <si>
    <t>Borrower's Attorney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</si>
</sst>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8"/>
      <color theme="3"/>
      <name val="Cambri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1230">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4" fillId="0" borderId="0" applyFont="0" applyFill="0" applyBorder="0" applyAlignment="0" applyProtection="0"/>
    <xf numFmtId="43" fontId="14" fillId="0" borderId="0" applyFont="0" applyFill="0" applyBorder="0" applyAlignment="0" applyProtection="0"/>
    <xf numFmtId="43" fontId="64" fillId="0" borderId="0" applyFont="0" applyFill="0" applyBorder="0" applyAlignment="0" applyProtection="0"/>
    <xf numFmtId="44" fontId="5" fillId="0" borderId="0" applyFont="0" applyFill="0" applyBorder="0" applyAlignment="0" applyProtection="0"/>
    <xf numFmtId="44" fontId="7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xf numFmtId="44" fontId="7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alignment vertical="top"/>
    </xf>
    <xf numFmtId="44" fontId="64" fillId="0" borderId="0" applyFont="0" applyFill="0" applyBorder="0" applyAlignment="0" applyProtection="0">
      <alignment vertical="top"/>
    </xf>
    <xf numFmtId="44" fontId="14" fillId="0" borderId="0" applyFont="0" applyFill="0" applyBorder="0" applyAlignment="0" applyProtection="0"/>
    <xf numFmtId="44" fontId="64" fillId="0" borderId="0" applyFont="0" applyFill="0" applyBorder="0" applyAlignment="0" applyProtection="0">
      <alignment vertical="top"/>
    </xf>
    <xf numFmtId="44" fontId="64" fillId="0" borderId="0" applyFont="0" applyFill="0" applyBorder="0" applyAlignment="0" applyProtection="0"/>
    <xf numFmtId="44" fontId="7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4"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4"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xf numFmtId="44" fontId="14" fillId="0" borderId="0" applyFont="0" applyFill="0" applyBorder="0" applyAlignment="0" applyProtection="0"/>
    <xf numFmtId="44" fontId="7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80" fillId="0" borderId="0" applyNumberFormat="0" applyFill="0" applyBorder="0" applyAlignment="0" applyProtection="0">
      <alignment vertical="top"/>
      <protection locked="0"/>
    </xf>
    <xf numFmtId="0" fontId="97" fillId="42" borderId="33" applyNumberFormat="0" applyAlignment="0" applyProtection="0"/>
    <xf numFmtId="0" fontId="7" fillId="0" borderId="0" applyNumberFormat="0" applyBorder="0"/>
    <xf numFmtId="0" fontId="8" fillId="0" borderId="0" applyBorder="0" applyAlignment="0"/>
    <xf numFmtId="0" fontId="9"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4" fillId="0" borderId="0"/>
    <xf numFmtId="0" fontId="100" fillId="0" borderId="0"/>
    <xf numFmtId="0" fontId="64" fillId="0" borderId="0"/>
    <xf numFmtId="0" fontId="64" fillId="0" borderId="0"/>
    <xf numFmtId="0" fontId="14" fillId="0" borderId="0"/>
    <xf numFmtId="0" fontId="14"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4" fillId="0" borderId="0"/>
    <xf numFmtId="170" fontId="65" fillId="0" borderId="0"/>
    <xf numFmtId="0" fontId="87" fillId="0" borderId="0"/>
    <xf numFmtId="0" fontId="14" fillId="0" borderId="0"/>
    <xf numFmtId="0" fontId="14" fillId="0" borderId="0"/>
    <xf numFmtId="0" fontId="70" fillId="0" borderId="0"/>
    <xf numFmtId="0" fontId="64" fillId="0" borderId="0"/>
    <xf numFmtId="0" fontId="70" fillId="0" borderId="0"/>
    <xf numFmtId="0" fontId="14" fillId="0" borderId="0"/>
    <xf numFmtId="0" fontId="64" fillId="0" borderId="0"/>
    <xf numFmtId="0" fontId="74" fillId="0" borderId="0"/>
    <xf numFmtId="0" fontId="64" fillId="0" borderId="0"/>
    <xf numFmtId="0" fontId="87" fillId="0" borderId="0"/>
    <xf numFmtId="0" fontId="64"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4" fillId="0" borderId="0"/>
    <xf numFmtId="0" fontId="87" fillId="0" borderId="0"/>
    <xf numFmtId="0" fontId="87" fillId="0" borderId="0"/>
    <xf numFmtId="0" fontId="87" fillId="0" borderId="0"/>
    <xf numFmtId="0" fontId="87" fillId="0" borderId="0"/>
    <xf numFmtId="0" fontId="64"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4" fillId="0" borderId="0"/>
    <xf numFmtId="0" fontId="87" fillId="0" borderId="0"/>
    <xf numFmtId="0" fontId="87" fillId="0" borderId="0"/>
    <xf numFmtId="0" fontId="87" fillId="0" borderId="0"/>
    <xf numFmtId="0" fontId="87" fillId="0" borderId="0"/>
    <xf numFmtId="0" fontId="74" fillId="0" borderId="0"/>
    <xf numFmtId="0" fontId="64" fillId="0" borderId="0">
      <alignment vertical="top"/>
    </xf>
    <xf numFmtId="0" fontId="87" fillId="0" borderId="0"/>
    <xf numFmtId="0" fontId="87" fillId="0" borderId="0"/>
    <xf numFmtId="0" fontId="87" fillId="0" borderId="0"/>
    <xf numFmtId="0" fontId="87" fillId="0" borderId="0"/>
    <xf numFmtId="0" fontId="74" fillId="0" borderId="0"/>
    <xf numFmtId="0" fontId="14" fillId="0" borderId="0"/>
    <xf numFmtId="0" fontId="87" fillId="0" borderId="0"/>
    <xf numFmtId="0" fontId="14" fillId="0" borderId="0"/>
    <xf numFmtId="0" fontId="87" fillId="0" borderId="0"/>
    <xf numFmtId="0" fontId="87" fillId="0" borderId="0"/>
    <xf numFmtId="0" fontId="87" fillId="0" borderId="0"/>
    <xf numFmtId="0" fontId="87" fillId="0" borderId="0"/>
    <xf numFmtId="0" fontId="70" fillId="0" borderId="0"/>
    <xf numFmtId="0" fontId="64" fillId="0" borderId="0">
      <alignment vertical="top"/>
    </xf>
    <xf numFmtId="0" fontId="70" fillId="0" borderId="0"/>
    <xf numFmtId="0" fontId="64" fillId="0" borderId="0">
      <alignment vertical="top"/>
    </xf>
    <xf numFmtId="0" fontId="64" fillId="0" borderId="0">
      <alignment vertical="top"/>
    </xf>
    <xf numFmtId="0" fontId="70" fillId="0" borderId="0"/>
    <xf numFmtId="0" fontId="70" fillId="0" borderId="0"/>
    <xf numFmtId="0" fontId="87" fillId="0" borderId="0"/>
    <xf numFmtId="0" fontId="64"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4" fillId="0" borderId="0"/>
    <xf numFmtId="0" fontId="64" fillId="0" borderId="0">
      <alignment vertical="top"/>
    </xf>
    <xf numFmtId="0" fontId="87" fillId="0" borderId="0"/>
    <xf numFmtId="0" fontId="87" fillId="0" borderId="0"/>
    <xf numFmtId="0" fontId="87" fillId="0" borderId="0"/>
    <xf numFmtId="0" fontId="87" fillId="0" borderId="0"/>
    <xf numFmtId="0" fontId="14"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4"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4" fillId="0" borderId="0"/>
    <xf numFmtId="0" fontId="64" fillId="0" borderId="0">
      <alignment vertical="top"/>
    </xf>
    <xf numFmtId="0" fontId="64" fillId="0" borderId="0">
      <alignment vertical="top"/>
    </xf>
    <xf numFmtId="0" fontId="64" fillId="0" borderId="0"/>
    <xf numFmtId="0" fontId="64" fillId="0" borderId="0">
      <alignment vertical="top"/>
    </xf>
    <xf numFmtId="0" fontId="64" fillId="0" borderId="0"/>
    <xf numFmtId="0" fontId="64"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4"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4" fillId="0" borderId="0"/>
    <xf numFmtId="0" fontId="87" fillId="0" borderId="0"/>
    <xf numFmtId="0" fontId="87" fillId="0" borderId="0"/>
    <xf numFmtId="0" fontId="87" fillId="0" borderId="0"/>
    <xf numFmtId="0" fontId="5" fillId="0" borderId="0" applyProtection="0">
      <protection locked="0"/>
    </xf>
    <xf numFmtId="0" fontId="14" fillId="0" borderId="0" applyProtection="0">
      <protection locked="0"/>
    </xf>
    <xf numFmtId="0" fontId="14" fillId="0" borderId="0" applyProtection="0">
      <protection locked="0"/>
    </xf>
    <xf numFmtId="0" fontId="65" fillId="0" borderId="0"/>
    <xf numFmtId="0" fontId="5" fillId="0" borderId="0"/>
    <xf numFmtId="0" fontId="14" fillId="0" borderId="0"/>
    <xf numFmtId="0" fontId="7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10"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9" fontId="5" fillId="0" borderId="0" applyFont="0" applyFill="0" applyBorder="0" applyAlignment="0" applyProtection="0"/>
    <xf numFmtId="170" fontId="141" fillId="0" borderId="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5"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77" fillId="44" borderId="39" applyNumberFormat="0" applyFont="0" applyAlignment="0" applyProtection="0"/>
    <xf numFmtId="0" fontId="143"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103" fillId="0" borderId="0" applyNumberForma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44" fontId="5"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015">
    <xf numFmtId="0" fontId="0" fillId="0" borderId="0" xfId="0"/>
    <xf numFmtId="0" fontId="0" fillId="0" borderId="0" xfId="0" applyAlignment="1">
      <alignment horizontal="center"/>
    </xf>
    <xf numFmtId="164" fontId="0" fillId="0" borderId="0" xfId="0" applyNumberFormat="1" applyAlignment="1">
      <alignment horizontal="right"/>
    </xf>
    <xf numFmtId="0" fontId="12" fillId="0" borderId="0" xfId="0" applyFont="1"/>
    <xf numFmtId="0" fontId="13" fillId="0" borderId="0" xfId="0" applyFont="1"/>
    <xf numFmtId="0" fontId="1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4" fillId="0" borderId="0" xfId="0" applyFont="1" applyAlignment="1">
      <alignment horizontal="center"/>
    </xf>
    <xf numFmtId="0" fontId="5"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2" fillId="0" borderId="0" xfId="0" applyFont="1" applyAlignment="1">
      <alignment vertical="top" wrapText="1"/>
    </xf>
    <xf numFmtId="0" fontId="33" fillId="0" borderId="0" xfId="0" applyFont="1"/>
    <xf numFmtId="0" fontId="13" fillId="0" borderId="6" xfId="0" applyFont="1" applyBorder="1" applyAlignment="1">
      <alignment horizontal="center"/>
    </xf>
    <xf numFmtId="0" fontId="12" fillId="0" borderId="0" xfId="0" applyFont="1" applyAlignment="1">
      <alignment horizontal="center"/>
    </xf>
    <xf numFmtId="0" fontId="13" fillId="0" borderId="0" xfId="0" applyFont="1" applyAlignment="1">
      <alignment horizontal="left" vertical="top"/>
    </xf>
    <xf numFmtId="0" fontId="22" fillId="0" borderId="0" xfId="0" applyFont="1"/>
    <xf numFmtId="0" fontId="5" fillId="0" borderId="0" xfId="546"/>
    <xf numFmtId="0" fontId="32" fillId="0" borderId="0" xfId="0" applyFont="1"/>
    <xf numFmtId="0" fontId="11" fillId="0" borderId="0" xfId="0" applyFont="1" applyAlignment="1">
      <alignment horizontal="center" vertical="center"/>
    </xf>
    <xf numFmtId="0" fontId="14" fillId="0" borderId="0" xfId="0" applyFont="1" applyAlignment="1">
      <alignment horizontal="left" vertical="top" wrapText="1"/>
    </xf>
    <xf numFmtId="0" fontId="21" fillId="0" borderId="0" xfId="0" applyFont="1"/>
    <xf numFmtId="0" fontId="13" fillId="0" borderId="0" xfId="0" applyFont="1" applyAlignment="1">
      <alignment vertical="top"/>
    </xf>
    <xf numFmtId="0" fontId="13" fillId="0" borderId="0" xfId="0" applyFont="1" applyAlignment="1">
      <alignment vertical="top" wrapText="1"/>
    </xf>
    <xf numFmtId="0" fontId="14" fillId="0" borderId="0" xfId="0" applyFont="1" applyAlignment="1">
      <alignment horizontal="left" indent="4"/>
    </xf>
    <xf numFmtId="0" fontId="13" fillId="0" borderId="0" xfId="0" applyFont="1" applyAlignment="1">
      <alignment horizontal="left"/>
    </xf>
    <xf numFmtId="0" fontId="26" fillId="0" borderId="0" xfId="546" applyFont="1"/>
    <xf numFmtId="1" fontId="13" fillId="0" borderId="0" xfId="0" applyNumberFormat="1" applyFont="1" applyAlignment="1">
      <alignment horizontal="left"/>
    </xf>
    <xf numFmtId="0" fontId="15" fillId="0" borderId="0" xfId="0" applyFont="1"/>
    <xf numFmtId="1" fontId="13" fillId="0" borderId="0" xfId="0" applyNumberFormat="1" applyFont="1" applyAlignment="1">
      <alignment horizontal="right"/>
    </xf>
    <xf numFmtId="0" fontId="0" fillId="0" borderId="0" xfId="0" applyAlignment="1">
      <alignment horizontal="right"/>
    </xf>
    <xf numFmtId="0" fontId="13" fillId="0" borderId="0" xfId="0" applyFont="1" applyAlignment="1">
      <alignment horizontal="right"/>
    </xf>
    <xf numFmtId="0" fontId="25" fillId="0" borderId="0" xfId="0" applyFont="1"/>
    <xf numFmtId="0" fontId="17" fillId="0" borderId="0" xfId="0" applyFont="1"/>
    <xf numFmtId="173" fontId="5" fillId="0" borderId="0" xfId="546" applyNumberFormat="1"/>
    <xf numFmtId="9" fontId="5" fillId="0" borderId="0" xfId="546" applyNumberFormat="1" applyAlignment="1">
      <alignment horizontal="left"/>
    </xf>
    <xf numFmtId="169" fontId="5" fillId="0" borderId="0" xfId="546" applyNumberFormat="1"/>
    <xf numFmtId="0" fontId="5" fillId="0" borderId="0" xfId="0" applyFont="1"/>
    <xf numFmtId="0" fontId="14" fillId="0" borderId="0" xfId="0" applyFont="1" applyAlignment="1">
      <alignment horizontal="right"/>
    </xf>
    <xf numFmtId="0" fontId="34" fillId="0" borderId="0" xfId="0" applyFont="1"/>
    <xf numFmtId="0" fontId="14" fillId="0" borderId="0" xfId="0" applyFont="1" applyAlignment="1">
      <alignment horizontal="left"/>
    </xf>
    <xf numFmtId="0" fontId="16" fillId="0" borderId="0" xfId="0" applyFont="1"/>
    <xf numFmtId="0" fontId="18" fillId="0" borderId="0" xfId="0" applyFont="1"/>
    <xf numFmtId="0" fontId="12"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2" fillId="0" borderId="1" xfId="0" applyFont="1" applyBorder="1" applyAlignment="1">
      <alignment horizontal="center" wrapText="1"/>
    </xf>
    <xf numFmtId="0" fontId="12"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2" fillId="0" borderId="4" xfId="0" applyFont="1" applyBorder="1" applyAlignment="1">
      <alignment horizontal="center"/>
    </xf>
    <xf numFmtId="0" fontId="22" fillId="0" borderId="3" xfId="0" applyFont="1" applyBorder="1" applyAlignment="1">
      <alignment horizontal="left"/>
    </xf>
    <xf numFmtId="0" fontId="22" fillId="0" borderId="9" xfId="0" applyFont="1" applyBorder="1" applyAlignment="1">
      <alignment horizontal="left"/>
    </xf>
    <xf numFmtId="0" fontId="12" fillId="0" borderId="4" xfId="0" applyFont="1" applyBorder="1" applyAlignment="1">
      <alignment horizontal="right"/>
    </xf>
    <xf numFmtId="0" fontId="12" fillId="0" borderId="8" xfId="0" applyFont="1" applyBorder="1" applyAlignment="1">
      <alignment horizontal="right"/>
    </xf>
    <xf numFmtId="0" fontId="22" fillId="0" borderId="0" xfId="0" applyFont="1" applyAlignment="1">
      <alignment horizontal="left"/>
    </xf>
    <xf numFmtId="0" fontId="12" fillId="0" borderId="0" xfId="0" applyFont="1" applyAlignment="1">
      <alignment horizontal="right"/>
    </xf>
    <xf numFmtId="0" fontId="12"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4" fillId="0" borderId="12" xfId="0" applyFont="1" applyBorder="1" applyAlignment="1">
      <alignment horizontal="left"/>
    </xf>
    <xf numFmtId="0" fontId="12" fillId="0" borderId="9" xfId="0" applyFont="1" applyBorder="1"/>
    <xf numFmtId="164" fontId="0" fillId="0" borderId="0" xfId="0" applyNumberFormat="1" applyAlignment="1">
      <alignment horizontal="center"/>
    </xf>
    <xf numFmtId="0" fontId="0" fillId="0" borderId="13" xfId="0" applyBorder="1"/>
    <xf numFmtId="0" fontId="14" fillId="0" borderId="3" xfId="0" applyFont="1" applyBorder="1"/>
    <xf numFmtId="0" fontId="14" fillId="0" borderId="0" xfId="546" applyFont="1"/>
    <xf numFmtId="0" fontId="36" fillId="0" borderId="0" xfId="546" applyFont="1"/>
    <xf numFmtId="49" fontId="5" fillId="0" borderId="0" xfId="546" applyNumberFormat="1"/>
    <xf numFmtId="0" fontId="34" fillId="0" borderId="0" xfId="546" applyFont="1"/>
    <xf numFmtId="169" fontId="26" fillId="0" borderId="5" xfId="546" applyNumberFormat="1" applyFont="1" applyBorder="1" applyAlignment="1">
      <alignment horizontal="left"/>
    </xf>
    <xf numFmtId="169" fontId="26" fillId="0" borderId="5" xfId="546" applyNumberFormat="1" applyFont="1" applyBorder="1" applyAlignment="1">
      <alignment horizontal="center"/>
    </xf>
    <xf numFmtId="0" fontId="5" fillId="0" borderId="7" xfId="546" applyBorder="1"/>
    <xf numFmtId="0" fontId="5" fillId="0" borderId="9" xfId="546" applyBorder="1"/>
    <xf numFmtId="0" fontId="5" fillId="0" borderId="10" xfId="546" applyBorder="1"/>
    <xf numFmtId="0" fontId="5" fillId="0" borderId="1" xfId="546" applyBorder="1"/>
    <xf numFmtId="0" fontId="5" fillId="0" borderId="13" xfId="546" applyBorder="1"/>
    <xf numFmtId="0" fontId="5" fillId="0" borderId="2" xfId="546" applyBorder="1"/>
    <xf numFmtId="0" fontId="5" fillId="0" borderId="11" xfId="546" applyBorder="1"/>
    <xf numFmtId="0" fontId="25" fillId="0" borderId="0" xfId="546" applyFont="1"/>
    <xf numFmtId="0" fontId="5" fillId="0" borderId="0" xfId="546" applyAlignment="1">
      <alignment horizontal="center"/>
    </xf>
    <xf numFmtId="0" fontId="13" fillId="0" borderId="5" xfId="546" applyFont="1" applyBorder="1" applyAlignment="1">
      <alignment vertical="top" wrapText="1"/>
    </xf>
    <xf numFmtId="0" fontId="14" fillId="0" borderId="4" xfId="0" applyFont="1" applyBorder="1"/>
    <xf numFmtId="0" fontId="28" fillId="0" borderId="0" xfId="0" applyFont="1"/>
    <xf numFmtId="0" fontId="29" fillId="0" borderId="0" xfId="0" applyFont="1"/>
    <xf numFmtId="0" fontId="13" fillId="0" borderId="3" xfId="0" applyFont="1" applyBorder="1"/>
    <xf numFmtId="0" fontId="13" fillId="0" borderId="4" xfId="0" applyFont="1" applyBorder="1"/>
    <xf numFmtId="164" fontId="0" fillId="0" borderId="4" xfId="0" applyNumberFormat="1" applyBorder="1" applyAlignment="1">
      <alignment horizontal="right"/>
    </xf>
    <xf numFmtId="0" fontId="14" fillId="0" borderId="4" xfId="0" applyFont="1" applyBorder="1" applyAlignment="1">
      <alignment horizontal="right"/>
    </xf>
    <xf numFmtId="0" fontId="13" fillId="0" borderId="4" xfId="0" applyFont="1" applyBorder="1" applyAlignment="1">
      <alignment vertical="top" wrapText="1"/>
    </xf>
    <xf numFmtId="0" fontId="14" fillId="0" borderId="6" xfId="0" applyFont="1" applyBorder="1"/>
    <xf numFmtId="0" fontId="14" fillId="0" borderId="6" xfId="0" applyFont="1" applyBorder="1" applyAlignment="1">
      <alignment horizontal="left" vertical="top"/>
    </xf>
    <xf numFmtId="0" fontId="13" fillId="0" borderId="6" xfId="0" applyFont="1" applyBorder="1"/>
    <xf numFmtId="0" fontId="14" fillId="0" borderId="0" xfId="0" applyFont="1" applyAlignment="1">
      <alignment horizontal="left" vertical="top"/>
    </xf>
    <xf numFmtId="0" fontId="13" fillId="0" borderId="0" xfId="0" applyFont="1" applyAlignment="1">
      <alignment horizontal="left" vertical="top" wrapText="1"/>
    </xf>
    <xf numFmtId="0" fontId="12" fillId="0" borderId="0" xfId="0" applyFont="1" applyAlignment="1">
      <alignment vertical="top"/>
    </xf>
    <xf numFmtId="0" fontId="24" fillId="0" borderId="0" xfId="0" applyFont="1" applyAlignment="1">
      <alignment vertical="top" wrapText="1"/>
    </xf>
    <xf numFmtId="0" fontId="12" fillId="0" borderId="0" xfId="0" applyFont="1" applyAlignment="1">
      <alignment horizontal="left" vertical="top" wrapText="1"/>
    </xf>
    <xf numFmtId="0" fontId="24" fillId="0" borderId="0" xfId="0" applyFont="1" applyAlignment="1">
      <alignment vertical="top"/>
    </xf>
    <xf numFmtId="0" fontId="12" fillId="0" borderId="0" xfId="0" applyFont="1" applyAlignment="1">
      <alignment horizontal="center" vertical="top"/>
    </xf>
    <xf numFmtId="0" fontId="14" fillId="0" borderId="6" xfId="0" applyFont="1" applyBorder="1" applyAlignment="1">
      <alignment horizontal="center"/>
    </xf>
    <xf numFmtId="0" fontId="22" fillId="0" borderId="6" xfId="0" applyFont="1" applyBorder="1"/>
    <xf numFmtId="0" fontId="22" fillId="0" borderId="0" xfId="0" applyFont="1" applyAlignment="1">
      <alignment horizontal="right"/>
    </xf>
    <xf numFmtId="0" fontId="29" fillId="0" borderId="0" xfId="0" applyFont="1" applyAlignment="1">
      <alignment horizontal="left" vertical="top" wrapText="1"/>
    </xf>
    <xf numFmtId="0" fontId="22" fillId="0" borderId="0" xfId="0" applyFont="1" applyAlignment="1">
      <alignment horizontal="left" vertical="top"/>
    </xf>
    <xf numFmtId="0" fontId="13" fillId="0" borderId="0" xfId="0" applyFont="1" applyAlignment="1">
      <alignment vertical="top" wrapText="1" shrinkToFit="1"/>
    </xf>
    <xf numFmtId="0" fontId="30" fillId="0" borderId="0" xfId="0" applyFont="1"/>
    <xf numFmtId="0" fontId="13" fillId="0" borderId="0" xfId="0" applyFont="1" applyAlignment="1">
      <alignment horizontal="left" vertical="top" wrapText="1" shrinkToFit="1"/>
    </xf>
    <xf numFmtId="0" fontId="30" fillId="0" borderId="4" xfId="0" applyFont="1" applyBorder="1"/>
    <xf numFmtId="0" fontId="13" fillId="0" borderId="4" xfId="0" applyFont="1" applyBorder="1" applyAlignment="1">
      <alignment horizontal="left" vertical="top" wrapText="1" shrinkToFit="1"/>
    </xf>
    <xf numFmtId="0" fontId="13" fillId="0" borderId="3" xfId="0" applyFont="1" applyBorder="1" applyAlignment="1">
      <alignment horizontal="center"/>
    </xf>
    <xf numFmtId="0" fontId="13" fillId="0" borderId="0" xfId="0" applyFont="1" applyAlignment="1">
      <alignment horizontal="center"/>
    </xf>
    <xf numFmtId="0" fontId="16" fillId="0" borderId="0" xfId="0" applyFont="1" applyAlignment="1">
      <alignment horizontal="left" vertical="top"/>
    </xf>
    <xf numFmtId="0" fontId="13" fillId="0" borderId="0" xfId="0" applyFont="1" applyAlignment="1">
      <alignment horizontal="left" vertical="top" shrinkToFit="1"/>
    </xf>
    <xf numFmtId="0" fontId="16" fillId="0" borderId="4" xfId="0" applyFont="1" applyBorder="1"/>
    <xf numFmtId="0" fontId="13" fillId="0" borderId="4" xfId="0" applyFont="1" applyBorder="1" applyAlignment="1">
      <alignment horizontal="left" vertical="top" shrinkToFit="1"/>
    </xf>
    <xf numFmtId="0" fontId="13" fillId="0" borderId="4" xfId="0" applyFont="1" applyBorder="1" applyAlignment="1">
      <alignment horizontal="left" vertical="top"/>
    </xf>
    <xf numFmtId="0" fontId="31" fillId="0" borderId="0" xfId="0" applyFont="1"/>
    <xf numFmtId="0" fontId="13" fillId="0" borderId="0" xfId="0" quotePrefix="1" applyFont="1"/>
    <xf numFmtId="0" fontId="12" fillId="0" borderId="0" xfId="0" applyFont="1" applyAlignment="1">
      <alignment horizontal="left" vertical="top"/>
    </xf>
    <xf numFmtId="0" fontId="35" fillId="0" borderId="0" xfId="0" applyFont="1"/>
    <xf numFmtId="0" fontId="16" fillId="0" borderId="0" xfId="0" applyFont="1" applyAlignment="1">
      <alignment horizontal="center"/>
    </xf>
    <xf numFmtId="0" fontId="13" fillId="0" borderId="4" xfId="0" applyFont="1" applyBorder="1" applyAlignment="1">
      <alignment horizontal="left" vertical="top" wrapText="1"/>
    </xf>
    <xf numFmtId="44" fontId="13" fillId="0" borderId="0" xfId="164" applyFont="1" applyFill="1" applyBorder="1" applyAlignment="1" applyProtection="1">
      <alignment horizontal="left" vertical="top" wrapText="1"/>
    </xf>
    <xf numFmtId="44" fontId="13" fillId="0" borderId="4" xfId="164" applyFont="1" applyFill="1" applyBorder="1" applyAlignment="1" applyProtection="1">
      <alignment horizontal="left" vertical="top" wrapText="1"/>
    </xf>
    <xf numFmtId="164" fontId="35" fillId="0" borderId="0" xfId="0" applyNumberFormat="1" applyFont="1" applyAlignment="1">
      <alignment horizontal="left"/>
    </xf>
    <xf numFmtId="0" fontId="16" fillId="0" borderId="0" xfId="0" applyFont="1" applyAlignment="1">
      <alignment horizontal="left"/>
    </xf>
    <xf numFmtId="0" fontId="12" fillId="0" borderId="4" xfId="0" applyFont="1" applyBorder="1" applyAlignment="1">
      <alignment horizontal="center" vertical="top"/>
    </xf>
    <xf numFmtId="0" fontId="29" fillId="0" borderId="0" xfId="0" applyFont="1" applyAlignment="1">
      <alignment horizontal="left" vertical="top"/>
    </xf>
    <xf numFmtId="0" fontId="14" fillId="0" borderId="4" xfId="0" applyFont="1" applyBorder="1" applyAlignment="1">
      <alignment horizontal="left" vertical="top"/>
    </xf>
    <xf numFmtId="0" fontId="29" fillId="0" borderId="4" xfId="0" applyFont="1" applyBorder="1" applyAlignment="1">
      <alignment horizontal="left" vertical="top"/>
    </xf>
    <xf numFmtId="0" fontId="13" fillId="0" borderId="6" xfId="0" applyFont="1" applyBorder="1" applyAlignment="1">
      <alignment horizontal="left" vertical="top"/>
    </xf>
    <xf numFmtId="0" fontId="5" fillId="0" borderId="14" xfId="546" applyBorder="1"/>
    <xf numFmtId="0" fontId="5" fillId="0" borderId="6" xfId="546" applyBorder="1"/>
    <xf numFmtId="0" fontId="13"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8" fillId="0" borderId="0" xfId="0" applyFont="1"/>
    <xf numFmtId="0" fontId="22" fillId="0" borderId="12" xfId="0" applyFont="1" applyBorder="1" applyAlignment="1">
      <alignment horizontal="center"/>
    </xf>
    <xf numFmtId="166" fontId="13" fillId="2" borderId="12" xfId="0" applyNumberFormat="1" applyFont="1" applyFill="1" applyBorder="1" applyAlignment="1">
      <alignment horizontal="center"/>
    </xf>
    <xf numFmtId="1" fontId="13" fillId="2" borderId="12" xfId="0" applyNumberFormat="1" applyFont="1" applyFill="1" applyBorder="1" applyAlignment="1">
      <alignment horizontal="center"/>
    </xf>
    <xf numFmtId="164" fontId="13" fillId="0" borderId="0" xfId="0" applyNumberFormat="1" applyFont="1" applyAlignment="1">
      <alignment horizontal="left" vertical="top"/>
    </xf>
    <xf numFmtId="164" fontId="13" fillId="0" borderId="0" xfId="0" applyNumberFormat="1" applyFont="1" applyAlignment="1">
      <alignment vertical="top" wrapText="1"/>
    </xf>
    <xf numFmtId="164" fontId="13" fillId="0" borderId="0" xfId="0" applyNumberFormat="1" applyFont="1" applyAlignment="1">
      <alignment horizontal="right"/>
    </xf>
    <xf numFmtId="164" fontId="13" fillId="0" borderId="0" xfId="0" applyNumberFormat="1" applyFont="1" applyAlignment="1">
      <alignment vertical="top"/>
    </xf>
    <xf numFmtId="2" fontId="13" fillId="0" borderId="0" xfId="0" applyNumberFormat="1" applyFont="1" applyAlignment="1">
      <alignment horizontal="right"/>
    </xf>
    <xf numFmtId="0" fontId="22" fillId="0" borderId="0" xfId="0" applyFont="1" applyAlignment="1">
      <alignment horizontal="center"/>
    </xf>
    <xf numFmtId="0" fontId="12" fillId="0" borderId="4" xfId="0" applyFont="1" applyBorder="1"/>
    <xf numFmtId="0" fontId="13" fillId="0" borderId="8" xfId="0" applyFont="1" applyBorder="1"/>
    <xf numFmtId="0" fontId="13" fillId="0" borderId="5" xfId="0" applyFont="1" applyBorder="1"/>
    <xf numFmtId="0" fontId="12" fillId="0" borderId="5" xfId="0" applyFont="1" applyBorder="1" applyAlignment="1">
      <alignment horizontal="right"/>
    </xf>
    <xf numFmtId="0" fontId="13" fillId="0" borderId="10" xfId="0" applyFont="1" applyBorder="1"/>
    <xf numFmtId="0" fontId="13" fillId="4" borderId="0" xfId="0" applyFont="1" applyFill="1" applyAlignment="1">
      <alignment horizontal="center"/>
    </xf>
    <xf numFmtId="164" fontId="12" fillId="0" borderId="0" xfId="0" applyNumberFormat="1" applyFont="1" applyAlignment="1">
      <alignment horizontal="left"/>
    </xf>
    <xf numFmtId="164" fontId="13" fillId="0" borderId="0" xfId="0" applyNumberFormat="1" applyFont="1" applyAlignment="1">
      <alignment horizontal="left" vertical="top" wrapText="1"/>
    </xf>
    <xf numFmtId="0" fontId="13" fillId="0" borderId="0" xfId="0" applyFont="1" applyAlignment="1">
      <alignment wrapText="1"/>
    </xf>
    <xf numFmtId="0" fontId="5" fillId="0" borderId="3" xfId="546" applyBorder="1"/>
    <xf numFmtId="0" fontId="5"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4" fillId="0" borderId="0" xfId="0" applyFont="1"/>
    <xf numFmtId="0" fontId="6" fillId="0" borderId="0" xfId="245" applyBorder="1" applyProtection="1"/>
    <xf numFmtId="0" fontId="6" fillId="0" borderId="0" xfId="245" applyFill="1" applyBorder="1" applyAlignment="1">
      <alignment horizontal="center" vertical="center"/>
    </xf>
    <xf numFmtId="49" fontId="13" fillId="0" borderId="0" xfId="0" applyNumberFormat="1" applyFont="1" applyAlignment="1">
      <alignment horizontal="left" vertical="top"/>
    </xf>
    <xf numFmtId="0" fontId="6" fillId="0" borderId="0" xfId="245" applyFill="1" applyBorder="1" applyAlignment="1" applyProtection="1">
      <alignment horizontal="left" vertical="top"/>
    </xf>
    <xf numFmtId="0" fontId="6" fillId="0" borderId="0" xfId="245" applyFill="1" applyBorder="1" applyAlignment="1" applyProtection="1">
      <alignment horizontal="left" vertical="top" wrapText="1"/>
    </xf>
    <xf numFmtId="49" fontId="14" fillId="0" borderId="0" xfId="0" applyNumberFormat="1" applyFont="1"/>
    <xf numFmtId="0" fontId="13" fillId="0" borderId="0" xfId="0" quotePrefix="1" applyFont="1" applyAlignment="1">
      <alignment horizontal="center" vertical="top"/>
    </xf>
    <xf numFmtId="0" fontId="24" fillId="0" borderId="0" xfId="0" applyFont="1" applyAlignment="1">
      <alignment horizontal="center"/>
    </xf>
    <xf numFmtId="49" fontId="12" fillId="0" borderId="0" xfId="0" applyNumberFormat="1" applyFont="1" applyAlignment="1">
      <alignment horizontal="center"/>
    </xf>
    <xf numFmtId="0" fontId="24" fillId="0" borderId="0" xfId="0" applyFont="1" applyAlignment="1">
      <alignment horizontal="left"/>
    </xf>
    <xf numFmtId="0" fontId="14" fillId="0" borderId="5" xfId="0" applyFont="1" applyBorder="1"/>
    <xf numFmtId="1" fontId="13" fillId="0" borderId="0" xfId="0" applyNumberFormat="1" applyFont="1" applyAlignment="1">
      <alignment horizontal="center" vertical="top"/>
    </xf>
    <xf numFmtId="0" fontId="14" fillId="0" borderId="2" xfId="0" applyFont="1" applyBorder="1"/>
    <xf numFmtId="0" fontId="14" fillId="0" borderId="11" xfId="0" applyFont="1" applyBorder="1"/>
    <xf numFmtId="0" fontId="14" fillId="0" borderId="13" xfId="0" applyFont="1" applyBorder="1"/>
    <xf numFmtId="0" fontId="14" fillId="0" borderId="9" xfId="0" applyFont="1" applyBorder="1"/>
    <xf numFmtId="0" fontId="14" fillId="0" borderId="10" xfId="0" applyFont="1" applyBorder="1"/>
    <xf numFmtId="0" fontId="19" fillId="0" borderId="5" xfId="0" applyFont="1" applyBorder="1" applyAlignment="1">
      <alignment vertical="top" wrapText="1"/>
    </xf>
    <xf numFmtId="0" fontId="19" fillId="0" borderId="8" xfId="0" applyFont="1" applyBorder="1" applyAlignment="1">
      <alignment vertical="top" wrapText="1"/>
    </xf>
    <xf numFmtId="0" fontId="19" fillId="0" borderId="4" xfId="0" applyFont="1" applyBorder="1" applyAlignment="1">
      <alignment vertical="top" wrapText="1"/>
    </xf>
    <xf numFmtId="0" fontId="19" fillId="2" borderId="5" xfId="0" applyFont="1" applyFill="1" applyBorder="1" applyAlignment="1">
      <alignment vertical="top" wrapText="1"/>
    </xf>
    <xf numFmtId="0" fontId="0" fillId="0" borderId="7" xfId="0" applyBorder="1"/>
    <xf numFmtId="0" fontId="12" fillId="0" borderId="2" xfId="0" applyFont="1" applyBorder="1"/>
    <xf numFmtId="1" fontId="5" fillId="0" borderId="0" xfId="546" applyNumberFormat="1"/>
    <xf numFmtId="49" fontId="14" fillId="0" borderId="0" xfId="0" applyNumberFormat="1" applyFont="1" applyAlignment="1">
      <alignment horizontal="center"/>
    </xf>
    <xf numFmtId="0" fontId="14" fillId="0" borderId="0" xfId="0" applyFont="1" applyAlignment="1">
      <alignment vertical="top"/>
    </xf>
    <xf numFmtId="0" fontId="14" fillId="0" borderId="0" xfId="0" applyFont="1" applyAlignment="1">
      <alignment vertical="top" wrapText="1"/>
    </xf>
    <xf numFmtId="0" fontId="5" fillId="0" borderId="0" xfId="0" applyFont="1" applyAlignment="1">
      <alignment horizontal="left" vertical="top" wrapText="1"/>
    </xf>
    <xf numFmtId="49" fontId="13" fillId="0" borderId="0" xfId="0" applyNumberFormat="1" applyFont="1" applyAlignment="1">
      <alignment vertical="top"/>
    </xf>
    <xf numFmtId="0" fontId="14" fillId="0" borderId="0" xfId="0" quotePrefix="1" applyFont="1" applyAlignment="1">
      <alignment horizontal="left"/>
    </xf>
    <xf numFmtId="0" fontId="14" fillId="0" borderId="0" xfId="0" quotePrefix="1" applyFont="1"/>
    <xf numFmtId="0" fontId="5" fillId="0" borderId="3" xfId="0" applyFont="1" applyBorder="1"/>
    <xf numFmtId="0" fontId="5" fillId="0" borderId="8" xfId="0" applyFont="1" applyBorder="1"/>
    <xf numFmtId="164" fontId="13" fillId="0" borderId="1" xfId="0" applyNumberFormat="1" applyFont="1" applyBorder="1" applyAlignment="1">
      <alignment vertical="top"/>
    </xf>
    <xf numFmtId="164" fontId="13" fillId="0" borderId="2" xfId="0" applyNumberFormat="1" applyFont="1" applyBorder="1" applyAlignment="1">
      <alignment vertical="top"/>
    </xf>
    <xf numFmtId="0" fontId="13" fillId="0" borderId="2" xfId="0" applyFont="1" applyBorder="1"/>
    <xf numFmtId="0" fontId="13" fillId="0" borderId="11" xfId="0" applyFont="1" applyBorder="1"/>
    <xf numFmtId="164" fontId="13" fillId="0" borderId="7" xfId="0" applyNumberFormat="1" applyFont="1" applyBorder="1" applyAlignment="1">
      <alignment horizontal="left" vertical="top"/>
    </xf>
    <xf numFmtId="0" fontId="12" fillId="0" borderId="13" xfId="0" applyFont="1" applyBorder="1" applyAlignment="1">
      <alignment horizontal="center"/>
    </xf>
    <xf numFmtId="164" fontId="13" fillId="0" borderId="9" xfId="0" applyNumberFormat="1" applyFont="1" applyBorder="1" applyAlignment="1">
      <alignment horizontal="left" vertical="top"/>
    </xf>
    <xf numFmtId="164" fontId="13" fillId="0" borderId="5" xfId="0" applyNumberFormat="1" applyFont="1" applyBorder="1" applyAlignment="1">
      <alignment horizontal="left" vertical="top"/>
    </xf>
    <xf numFmtId="164" fontId="22" fillId="0" borderId="0" xfId="0" applyNumberFormat="1" applyFont="1" applyAlignment="1">
      <alignment horizontal="left" vertical="top"/>
    </xf>
    <xf numFmtId="1" fontId="13" fillId="0" borderId="0" xfId="0" quotePrefix="1" applyNumberFormat="1" applyFont="1" applyAlignment="1">
      <alignment horizontal="center" vertical="top"/>
    </xf>
    <xf numFmtId="0" fontId="0" fillId="0" borderId="5" xfId="0" applyBorder="1" applyAlignment="1">
      <alignment horizontal="right"/>
    </xf>
    <xf numFmtId="0" fontId="19" fillId="5" borderId="4" xfId="0" applyFont="1" applyFill="1" applyBorder="1" applyAlignment="1">
      <alignment vertical="top" wrapText="1"/>
    </xf>
    <xf numFmtId="0" fontId="19" fillId="5" borderId="8" xfId="0" applyFont="1" applyFill="1" applyBorder="1" applyAlignment="1">
      <alignment vertical="top" wrapText="1"/>
    </xf>
    <xf numFmtId="0" fontId="12" fillId="0" borderId="9" xfId="0" applyFont="1" applyBorder="1" applyAlignment="1">
      <alignment horizontal="left"/>
    </xf>
    <xf numFmtId="0" fontId="12" fillId="0" borderId="2" xfId="0" applyFont="1" applyBorder="1" applyAlignment="1">
      <alignment horizontal="center"/>
    </xf>
    <xf numFmtId="0" fontId="49" fillId="0" borderId="3" xfId="0" applyFont="1" applyBorder="1" applyAlignment="1">
      <alignment horizontal="left" vertical="top"/>
    </xf>
    <xf numFmtId="0" fontId="49" fillId="0" borderId="15" xfId="0" applyFont="1" applyBorder="1" applyAlignment="1">
      <alignment horizontal="center" wrapText="1"/>
    </xf>
    <xf numFmtId="0" fontId="49" fillId="0" borderId="15" xfId="0" applyFont="1" applyBorder="1" applyAlignment="1">
      <alignment horizontal="center" vertical="top" wrapText="1"/>
    </xf>
    <xf numFmtId="0" fontId="49" fillId="2" borderId="15" xfId="0" applyFont="1" applyFill="1" applyBorder="1" applyAlignment="1">
      <alignment horizontal="center" wrapText="1"/>
    </xf>
    <xf numFmtId="0" fontId="50" fillId="2" borderId="12" xfId="0" applyFont="1" applyFill="1" applyBorder="1" applyAlignment="1">
      <alignment horizontal="left" vertical="top" wrapText="1"/>
    </xf>
    <xf numFmtId="0" fontId="28" fillId="6" borderId="12" xfId="0" applyFont="1" applyFill="1" applyBorder="1" applyAlignment="1">
      <alignment vertical="top" wrapText="1"/>
    </xf>
    <xf numFmtId="0" fontId="28" fillId="2" borderId="12" xfId="0" applyFont="1" applyFill="1" applyBorder="1" applyAlignment="1">
      <alignment vertical="top" wrapText="1"/>
    </xf>
    <xf numFmtId="0" fontId="28" fillId="0" borderId="12" xfId="0" applyFont="1" applyBorder="1" applyAlignment="1">
      <alignment vertical="top" wrapText="1"/>
    </xf>
    <xf numFmtId="0" fontId="28" fillId="0" borderId="12" xfId="0" applyFont="1" applyBorder="1" applyAlignment="1">
      <alignment horizontal="right" vertical="top" wrapText="1"/>
    </xf>
    <xf numFmtId="169" fontId="28" fillId="0" borderId="12" xfId="0" applyNumberFormat="1" applyFont="1" applyBorder="1" applyAlignment="1">
      <alignment vertical="top" wrapText="1"/>
    </xf>
    <xf numFmtId="169" fontId="28" fillId="7" borderId="12" xfId="0" applyNumberFormat="1" applyFont="1" applyFill="1" applyBorder="1" applyAlignment="1" applyProtection="1">
      <alignment vertical="top" wrapText="1"/>
      <protection locked="0"/>
    </xf>
    <xf numFmtId="169" fontId="28" fillId="8" borderId="12" xfId="0" applyNumberFormat="1" applyFont="1" applyFill="1" applyBorder="1" applyAlignment="1">
      <alignment horizontal="center" vertical="top" wrapText="1"/>
    </xf>
    <xf numFmtId="0" fontId="49" fillId="0" borderId="12" xfId="0" applyFont="1" applyBorder="1" applyAlignment="1">
      <alignment horizontal="right" vertical="top" wrapText="1"/>
    </xf>
    <xf numFmtId="169" fontId="49" fillId="0" borderId="12" xfId="0" applyNumberFormat="1" applyFont="1" applyBorder="1" applyAlignment="1">
      <alignment vertical="top" wrapText="1"/>
    </xf>
    <xf numFmtId="169" fontId="28" fillId="6" borderId="12" xfId="0" applyNumberFormat="1" applyFont="1" applyFill="1" applyBorder="1" applyAlignment="1">
      <alignment vertical="top" wrapText="1"/>
    </xf>
    <xf numFmtId="0" fontId="28" fillId="7" borderId="12" xfId="0" applyFont="1" applyFill="1" applyBorder="1" applyAlignment="1" applyProtection="1">
      <alignment horizontal="right" vertical="top" wrapText="1"/>
      <protection locked="0"/>
    </xf>
    <xf numFmtId="0" fontId="49" fillId="2" borderId="12" xfId="0" applyFont="1" applyFill="1" applyBorder="1" applyAlignment="1">
      <alignment vertical="top" wrapText="1"/>
    </xf>
    <xf numFmtId="0" fontId="49" fillId="0" borderId="12" xfId="0" applyFont="1" applyBorder="1" applyAlignment="1">
      <alignment vertical="top" wrapText="1"/>
    </xf>
    <xf numFmtId="0" fontId="8" fillId="0" borderId="12" xfId="0" applyFont="1" applyBorder="1" applyAlignment="1">
      <alignment horizontal="right" vertical="top" wrapText="1"/>
    </xf>
    <xf numFmtId="0" fontId="28" fillId="0" borderId="12" xfId="0" applyFont="1" applyBorder="1" applyAlignment="1" applyProtection="1">
      <alignment horizontal="right" vertical="top" wrapText="1"/>
      <protection locked="0"/>
    </xf>
    <xf numFmtId="0" fontId="49" fillId="0" borderId="0" xfId="0" applyFont="1" applyAlignment="1">
      <alignment horizontal="left" vertical="top"/>
    </xf>
    <xf numFmtId="0" fontId="28" fillId="0" borderId="0" xfId="0" applyFont="1" applyAlignment="1">
      <alignment horizontal="left" vertical="top"/>
    </xf>
    <xf numFmtId="0" fontId="28" fillId="0" borderId="0" xfId="0" applyFont="1" applyAlignment="1">
      <alignment vertical="top" wrapText="1"/>
    </xf>
    <xf numFmtId="0" fontId="28" fillId="0" borderId="0" xfId="0" applyFont="1" applyAlignment="1">
      <alignment vertical="top"/>
    </xf>
    <xf numFmtId="0" fontId="49" fillId="0" borderId="0" xfId="0" applyFont="1" applyAlignment="1">
      <alignment horizontal="right" vertical="top"/>
    </xf>
    <xf numFmtId="0" fontId="28" fillId="2" borderId="0" xfId="0" applyFont="1" applyFill="1" applyAlignment="1">
      <alignment vertical="top" wrapText="1"/>
    </xf>
    <xf numFmtId="0" fontId="49" fillId="0" borderId="0" xfId="0" applyFont="1" applyAlignment="1">
      <alignment vertical="top"/>
    </xf>
    <xf numFmtId="0" fontId="28" fillId="0" borderId="15" xfId="0" applyFont="1" applyBorder="1" applyAlignment="1">
      <alignment vertical="top" wrapText="1"/>
    </xf>
    <xf numFmtId="167" fontId="14" fillId="0" borderId="0" xfId="0" applyNumberFormat="1" applyFont="1" applyAlignment="1">
      <alignment horizontal="left"/>
    </xf>
    <xf numFmtId="0" fontId="51" fillId="0" borderId="0" xfId="0" applyFont="1"/>
    <xf numFmtId="0" fontId="5" fillId="0" borderId="0" xfId="245" applyFont="1" applyFill="1" applyBorder="1" applyAlignment="1" applyProtection="1">
      <alignment horizontal="left"/>
    </xf>
    <xf numFmtId="0" fontId="41" fillId="0" borderId="0" xfId="0" applyFont="1"/>
    <xf numFmtId="0" fontId="41" fillId="0" borderId="0" xfId="245" applyFont="1" applyFill="1" applyBorder="1" applyAlignment="1" applyProtection="1">
      <alignment horizontal="left"/>
    </xf>
    <xf numFmtId="0" fontId="11" fillId="5" borderId="12" xfId="0" applyFont="1" applyFill="1" applyBorder="1" applyAlignment="1">
      <alignment vertical="top"/>
    </xf>
    <xf numFmtId="173" fontId="12" fillId="0" borderId="0" xfId="546" applyNumberFormat="1" applyFont="1"/>
    <xf numFmtId="0" fontId="12" fillId="0" borderId="0" xfId="546" applyFont="1"/>
    <xf numFmtId="49" fontId="0" fillId="0" borderId="0" xfId="0" applyNumberFormat="1"/>
    <xf numFmtId="49" fontId="40" fillId="0" borderId="0" xfId="0" applyNumberFormat="1" applyFont="1" applyAlignment="1">
      <alignment horizontal="center"/>
    </xf>
    <xf numFmtId="0" fontId="40" fillId="0" borderId="0" xfId="0" applyFont="1"/>
    <xf numFmtId="0" fontId="5" fillId="0" borderId="0" xfId="0" applyFont="1" applyAlignment="1">
      <alignment horizontal="left"/>
    </xf>
    <xf numFmtId="0" fontId="46" fillId="0" borderId="0" xfId="0" applyFont="1" applyAlignment="1">
      <alignment horizontal="center"/>
    </xf>
    <xf numFmtId="0" fontId="12" fillId="0" borderId="4" xfId="0" applyFont="1" applyBorder="1" applyAlignment="1">
      <alignment horizontal="left"/>
    </xf>
    <xf numFmtId="2" fontId="5" fillId="0" borderId="2" xfId="0" applyNumberFormat="1" applyFont="1" applyBorder="1" applyAlignment="1">
      <alignment horizontal="left"/>
    </xf>
    <xf numFmtId="0" fontId="0" fillId="0" borderId="2" xfId="0" applyBorder="1" applyAlignment="1">
      <alignment horizontal="left"/>
    </xf>
    <xf numFmtId="2" fontId="5" fillId="0" borderId="0" xfId="0" applyNumberFormat="1" applyFont="1" applyAlignment="1">
      <alignment horizontal="left"/>
    </xf>
    <xf numFmtId="169" fontId="0" fillId="0" borderId="0" xfId="0" applyNumberFormat="1" applyAlignment="1">
      <alignment horizontal="right"/>
    </xf>
    <xf numFmtId="0" fontId="55" fillId="0" borderId="0" xfId="0" applyFont="1" applyAlignment="1">
      <alignment wrapText="1"/>
    </xf>
    <xf numFmtId="0" fontId="55" fillId="0" borderId="0" xfId="0" applyFont="1" applyAlignment="1">
      <alignment horizontal="left" wrapText="1"/>
    </xf>
    <xf numFmtId="0" fontId="13" fillId="0" borderId="5" xfId="0" applyFont="1" applyBorder="1" applyAlignment="1">
      <alignment horizontal="right"/>
    </xf>
    <xf numFmtId="0" fontId="13" fillId="0" borderId="1" xfId="0" applyFont="1" applyBorder="1"/>
    <xf numFmtId="0" fontId="13" fillId="0" borderId="7" xfId="0" applyFont="1" applyBorder="1"/>
    <xf numFmtId="0" fontId="13" fillId="0" borderId="16" xfId="0" applyFont="1" applyBorder="1"/>
    <xf numFmtId="0" fontId="12" fillId="0" borderId="16" xfId="0" applyFont="1" applyBorder="1"/>
    <xf numFmtId="0" fontId="13" fillId="0" borderId="16" xfId="0" applyFont="1" applyBorder="1" applyAlignment="1">
      <alignment horizontal="left" vertical="top"/>
    </xf>
    <xf numFmtId="0" fontId="14" fillId="0" borderId="16" xfId="0" applyFont="1" applyBorder="1" applyAlignment="1">
      <alignment horizontal="left" vertical="top"/>
    </xf>
    <xf numFmtId="0" fontId="12" fillId="0" borderId="16" xfId="0" applyFont="1" applyBorder="1" applyAlignment="1">
      <alignment horizontal="right"/>
    </xf>
    <xf numFmtId="0" fontId="14" fillId="0" borderId="16" xfId="0" applyFont="1" applyBorder="1" applyAlignment="1">
      <alignment horizontal="center"/>
    </xf>
    <xf numFmtId="0" fontId="10" fillId="0" borderId="0" xfId="0" applyFont="1" applyProtection="1">
      <protection locked="0"/>
    </xf>
    <xf numFmtId="4" fontId="46" fillId="0" borderId="0" xfId="0" applyNumberFormat="1" applyFont="1" applyAlignment="1">
      <alignment horizontal="center"/>
    </xf>
    <xf numFmtId="4" fontId="14" fillId="0" borderId="0" xfId="0" applyNumberFormat="1" applyFont="1" applyAlignment="1">
      <alignment horizontal="center"/>
    </xf>
    <xf numFmtId="4" fontId="14" fillId="0" borderId="0" xfId="0" applyNumberFormat="1" applyFont="1" applyAlignment="1">
      <alignment horizontal="left"/>
    </xf>
    <xf numFmtId="4" fontId="14" fillId="0" borderId="0" xfId="0" applyNumberFormat="1" applyFont="1"/>
    <xf numFmtId="169" fontId="14" fillId="0" borderId="0" xfId="0" applyNumberFormat="1" applyFont="1" applyAlignment="1">
      <alignment horizontal="center"/>
    </xf>
    <xf numFmtId="0" fontId="28" fillId="2" borderId="10" xfId="0" applyFont="1" applyFill="1" applyBorder="1" applyAlignment="1">
      <alignment vertical="top" wrapText="1"/>
    </xf>
    <xf numFmtId="0" fontId="28" fillId="2" borderId="8" xfId="0" applyFont="1" applyFill="1" applyBorder="1" applyAlignment="1">
      <alignment vertical="top" wrapText="1"/>
    </xf>
    <xf numFmtId="0" fontId="52" fillId="0" borderId="15" xfId="0" applyFont="1" applyBorder="1" applyAlignment="1">
      <alignment vertical="top" wrapText="1"/>
    </xf>
    <xf numFmtId="0" fontId="62" fillId="0" borderId="0" xfId="0" applyFont="1" applyAlignment="1">
      <alignment horizontal="left" vertical="top"/>
    </xf>
    <xf numFmtId="0" fontId="22" fillId="0" borderId="7" xfId="0" applyFont="1" applyBorder="1"/>
    <xf numFmtId="0" fontId="0" fillId="0" borderId="5" xfId="0" applyBorder="1" applyAlignment="1">
      <alignment vertical="top" wrapText="1"/>
    </xf>
    <xf numFmtId="0" fontId="61" fillId="0" borderId="12" xfId="0" applyFont="1" applyBorder="1" applyAlignment="1">
      <alignment horizontal="right" vertical="top" wrapText="1"/>
    </xf>
    <xf numFmtId="0" fontId="63" fillId="0" borderId="12" xfId="0" applyFont="1" applyBorder="1" applyAlignment="1">
      <alignment horizontal="right" vertical="top" wrapText="1"/>
    </xf>
    <xf numFmtId="0" fontId="0" fillId="0" borderId="0" xfId="0" applyAlignment="1">
      <alignment wrapText="1"/>
    </xf>
    <xf numFmtId="0" fontId="46" fillId="0" borderId="0" xfId="0" applyFont="1" applyAlignment="1">
      <alignment horizontal="center" vertical="top"/>
    </xf>
    <xf numFmtId="0" fontId="26" fillId="0" borderId="0" xfId="0" applyFont="1" applyAlignment="1">
      <alignment vertical="top" wrapText="1"/>
    </xf>
    <xf numFmtId="0" fontId="11" fillId="0" borderId="0" xfId="0" applyFont="1" applyAlignment="1">
      <alignment horizontal="center" vertical="center" wrapText="1"/>
    </xf>
    <xf numFmtId="0" fontId="49" fillId="0" borderId="4" xfId="0" applyFont="1" applyBorder="1" applyAlignment="1">
      <alignment horizontal="right"/>
    </xf>
    <xf numFmtId="169" fontId="25" fillId="0" borderId="0" xfId="0" applyNumberFormat="1" applyFont="1" applyAlignment="1">
      <alignment horizontal="left" vertical="top" wrapText="1"/>
    </xf>
    <xf numFmtId="0" fontId="64" fillId="0" borderId="0" xfId="0" applyFont="1"/>
    <xf numFmtId="0" fontId="5" fillId="0" borderId="0" xfId="0" applyFont="1" applyProtection="1">
      <protection locked="0"/>
    </xf>
    <xf numFmtId="169" fontId="5" fillId="0" borderId="0" xfId="0" applyNumberFormat="1" applyFont="1" applyAlignment="1">
      <alignment horizontal="left" vertical="top"/>
    </xf>
    <xf numFmtId="169" fontId="12" fillId="0" borderId="0" xfId="0" applyNumberFormat="1" applyFont="1" applyAlignment="1">
      <alignment horizontal="left" vertical="top"/>
    </xf>
    <xf numFmtId="0" fontId="5" fillId="0" borderId="0" xfId="0" applyFont="1" applyAlignment="1">
      <alignment horizontal="left" vertical="top"/>
    </xf>
    <xf numFmtId="169" fontId="14" fillId="0" borderId="0" xfId="0" applyNumberFormat="1" applyFont="1" applyAlignment="1">
      <alignment horizontal="left" vertical="top"/>
    </xf>
    <xf numFmtId="0" fontId="26" fillId="9" borderId="0" xfId="542" applyFont="1" applyFill="1" applyAlignment="1" applyProtection="1">
      <alignment horizontal="centerContinuous"/>
    </xf>
    <xf numFmtId="0" fontId="5" fillId="0" borderId="0" xfId="542" applyProtection="1"/>
    <xf numFmtId="0" fontId="14" fillId="0" borderId="0" xfId="0" applyFont="1" applyAlignment="1">
      <alignment horizontal="center" vertical="center"/>
    </xf>
    <xf numFmtId="169" fontId="26" fillId="0" borderId="0" xfId="546" applyNumberFormat="1" applyFont="1" applyAlignment="1">
      <alignment horizontal="left"/>
    </xf>
    <xf numFmtId="169" fontId="26" fillId="0" borderId="0" xfId="546" applyNumberFormat="1" applyFont="1" applyAlignment="1">
      <alignment horizontal="center"/>
    </xf>
    <xf numFmtId="1" fontId="14" fillId="0" borderId="0" xfId="0" applyNumberFormat="1" applyFont="1" applyAlignment="1">
      <alignment horizontal="center"/>
    </xf>
    <xf numFmtId="0" fontId="12" fillId="4" borderId="0" xfId="0" applyFont="1" applyFill="1" applyAlignment="1">
      <alignment horizontal="center" wrapText="1"/>
    </xf>
    <xf numFmtId="1" fontId="12" fillId="0" borderId="0" xfId="0" applyNumberFormat="1" applyFont="1" applyAlignment="1">
      <alignment horizontal="left"/>
    </xf>
    <xf numFmtId="0" fontId="12" fillId="0" borderId="9" xfId="0" applyFont="1" applyBorder="1" applyAlignment="1">
      <alignment horizontal="center" wrapText="1"/>
    </xf>
    <xf numFmtId="0" fontId="0" fillId="0" borderId="0" xfId="0" applyAlignment="1">
      <alignment vertical="center"/>
    </xf>
    <xf numFmtId="0" fontId="19" fillId="5" borderId="4" xfId="0" applyFont="1" applyFill="1" applyBorder="1" applyAlignment="1" applyProtection="1">
      <alignment vertical="top" wrapText="1"/>
      <protection locked="0"/>
    </xf>
    <xf numFmtId="0" fontId="19" fillId="5" borderId="8" xfId="0" applyFont="1" applyFill="1" applyBorder="1" applyAlignment="1" applyProtection="1">
      <alignment vertical="top" wrapText="1"/>
      <protection locked="0"/>
    </xf>
    <xf numFmtId="0" fontId="12" fillId="0" borderId="15" xfId="0" applyFont="1" applyBorder="1" applyAlignment="1">
      <alignment horizontal="center" wrapText="1"/>
    </xf>
    <xf numFmtId="0" fontId="42" fillId="2" borderId="12" xfId="0" applyFont="1" applyFill="1" applyBorder="1" applyAlignment="1">
      <alignment horizontal="left" vertical="top" wrapText="1"/>
    </xf>
    <xf numFmtId="0" fontId="14" fillId="0" borderId="12" xfId="0" applyFont="1" applyBorder="1" applyAlignment="1" applyProtection="1">
      <alignment vertical="top" wrapText="1"/>
      <protection locked="0"/>
    </xf>
    <xf numFmtId="169" fontId="14" fillId="7" borderId="12" xfId="0" applyNumberFormat="1" applyFont="1" applyFill="1" applyBorder="1" applyAlignment="1" applyProtection="1">
      <alignment vertical="top" wrapText="1"/>
      <protection locked="0"/>
    </xf>
    <xf numFmtId="0" fontId="14" fillId="7" borderId="12" xfId="0" applyFont="1" applyFill="1" applyBorder="1" applyAlignment="1" applyProtection="1">
      <alignment vertical="top" wrapText="1"/>
      <protection locked="0"/>
    </xf>
    <xf numFmtId="169" fontId="14" fillId="0" borderId="12" xfId="0" applyNumberFormat="1" applyFont="1" applyBorder="1" applyAlignment="1">
      <alignment vertical="top" wrapText="1"/>
    </xf>
    <xf numFmtId="0" fontId="12" fillId="0" borderId="12" xfId="0" applyFont="1" applyBorder="1" applyAlignment="1">
      <alignment horizontal="right" vertical="top" wrapText="1"/>
    </xf>
    <xf numFmtId="0" fontId="19" fillId="0" borderId="0" xfId="0" applyFont="1" applyAlignment="1" applyProtection="1">
      <alignment horizontal="right" vertical="top" wrapText="1"/>
      <protection locked="0"/>
    </xf>
    <xf numFmtId="0" fontId="19" fillId="0" borderId="0" xfId="0" applyFont="1" applyAlignment="1" applyProtection="1">
      <alignment vertical="top" wrapText="1"/>
      <protection locked="0"/>
    </xf>
    <xf numFmtId="0" fontId="14" fillId="0" borderId="8" xfId="0" applyFont="1" applyBorder="1" applyAlignment="1" applyProtection="1">
      <alignment vertical="top" wrapText="1"/>
      <protection locked="0"/>
    </xf>
    <xf numFmtId="0" fontId="12" fillId="0" borderId="3" xfId="0" applyFont="1" applyBorder="1" applyAlignment="1">
      <alignment horizontal="left" vertical="top"/>
    </xf>
    <xf numFmtId="0" fontId="14" fillId="0" borderId="4" xfId="0" applyFont="1" applyBorder="1" applyAlignment="1" applyProtection="1">
      <alignment horizontal="left" vertical="top"/>
      <protection locked="0"/>
    </xf>
    <xf numFmtId="0" fontId="14" fillId="0" borderId="4" xfId="0" applyFont="1" applyBorder="1" applyAlignment="1" applyProtection="1">
      <alignment vertical="top" wrapText="1"/>
      <protection locked="0"/>
    </xf>
    <xf numFmtId="0" fontId="0" fillId="0" borderId="0" xfId="0" applyProtection="1">
      <protection locked="0"/>
    </xf>
    <xf numFmtId="1" fontId="14" fillId="0" borderId="0" xfId="0" applyNumberFormat="1" applyFont="1"/>
    <xf numFmtId="0" fontId="13" fillId="0" borderId="0" xfId="0" applyFont="1" applyAlignment="1">
      <alignment horizontal="left" vertical="center" wrapText="1"/>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left" vertical="center"/>
    </xf>
    <xf numFmtId="0" fontId="54" fillId="0" borderId="0" xfId="0" applyFont="1"/>
    <xf numFmtId="0" fontId="22" fillId="0" borderId="0" xfId="0" applyFont="1" applyAlignment="1">
      <alignment vertical="top"/>
    </xf>
    <xf numFmtId="0" fontId="22" fillId="0" borderId="0" xfId="0" applyFont="1" applyAlignment="1">
      <alignment vertical="center"/>
    </xf>
    <xf numFmtId="9" fontId="13" fillId="0" borderId="0" xfId="0" applyNumberFormat="1" applyFont="1" applyAlignment="1">
      <alignment horizontal="left"/>
    </xf>
    <xf numFmtId="9" fontId="5" fillId="0" borderId="0" xfId="546" applyNumberFormat="1" applyAlignment="1">
      <alignment vertical="center"/>
    </xf>
    <xf numFmtId="0" fontId="14" fillId="0" borderId="0" xfId="546" applyFont="1" applyAlignment="1">
      <alignment horizontal="left"/>
    </xf>
    <xf numFmtId="0" fontId="19" fillId="0" borderId="0" xfId="0" applyFont="1" applyAlignment="1">
      <alignment vertical="top" wrapText="1"/>
    </xf>
    <xf numFmtId="0" fontId="14" fillId="0" borderId="4" xfId="0" applyFont="1" applyBorder="1" applyAlignment="1">
      <alignment vertical="top" wrapText="1"/>
    </xf>
    <xf numFmtId="0" fontId="14" fillId="0" borderId="0" xfId="0" applyFont="1" applyAlignment="1">
      <alignment wrapText="1"/>
    </xf>
    <xf numFmtId="0" fontId="46" fillId="0" borderId="0" xfId="0" applyFont="1" applyAlignment="1">
      <alignment horizontal="center" vertical="center"/>
    </xf>
    <xf numFmtId="49" fontId="12" fillId="0" borderId="0" xfId="0" applyNumberFormat="1" applyFont="1" applyAlignment="1">
      <alignment horizontal="center" vertical="center"/>
    </xf>
    <xf numFmtId="0" fontId="14" fillId="0" borderId="0" xfId="0" applyFont="1" applyAlignment="1">
      <alignment vertical="center"/>
    </xf>
    <xf numFmtId="49" fontId="14" fillId="0" borderId="0" xfId="0" applyNumberFormat="1" applyFont="1" applyAlignment="1">
      <alignment vertical="center"/>
    </xf>
    <xf numFmtId="49" fontId="0" fillId="0" borderId="0" xfId="0" applyNumberFormat="1" applyAlignment="1">
      <alignment vertical="center"/>
    </xf>
    <xf numFmtId="0" fontId="6" fillId="0" borderId="0" xfId="245" applyFill="1" applyBorder="1" applyProtection="1">
      <protection locked="0"/>
    </xf>
    <xf numFmtId="0" fontId="14" fillId="0" borderId="0" xfId="273"/>
    <xf numFmtId="3" fontId="14" fillId="0" borderId="0" xfId="0" applyNumberFormat="1" applyFont="1" applyAlignment="1">
      <alignment horizontal="center"/>
    </xf>
    <xf numFmtId="0" fontId="27" fillId="0" borderId="0" xfId="546" applyFont="1" applyAlignment="1">
      <alignment horizontal="right" vertical="top" wrapText="1"/>
    </xf>
    <xf numFmtId="0" fontId="26" fillId="0" borderId="0" xfId="546" applyFont="1" applyAlignment="1">
      <alignment horizontal="right" vertical="top" wrapText="1"/>
    </xf>
    <xf numFmtId="169" fontId="12" fillId="0" borderId="0" xfId="546" applyNumberFormat="1" applyFont="1" applyAlignment="1">
      <alignment horizontal="center" vertical="center"/>
    </xf>
    <xf numFmtId="0" fontId="24" fillId="0" borderId="0" xfId="546" applyFont="1" applyAlignment="1">
      <alignment horizontal="left" vertical="center"/>
    </xf>
    <xf numFmtId="0" fontId="12" fillId="0" borderId="0" xfId="546" applyFont="1" applyAlignment="1">
      <alignment horizontal="right" vertical="top" wrapText="1"/>
    </xf>
    <xf numFmtId="0" fontId="14" fillId="0" borderId="0" xfId="546" applyFont="1" applyAlignment="1">
      <alignment horizontal="left" vertical="center"/>
    </xf>
    <xf numFmtId="0" fontId="14" fillId="0" borderId="0" xfId="546" applyFont="1" applyAlignment="1">
      <alignment horizontal="right" vertical="top" wrapText="1"/>
    </xf>
    <xf numFmtId="0" fontId="14" fillId="0" borderId="0" xfId="273" applyAlignment="1">
      <alignment horizontal="center"/>
    </xf>
    <xf numFmtId="4" fontId="14" fillId="0" borderId="0" xfId="273" applyNumberFormat="1" applyAlignment="1">
      <alignment horizontal="left"/>
    </xf>
    <xf numFmtId="4" fontId="14" fillId="0" borderId="0" xfId="273" applyNumberFormat="1"/>
    <xf numFmtId="0" fontId="12" fillId="0" borderId="0" xfId="273" applyFont="1"/>
    <xf numFmtId="169" fontId="14" fillId="0" borderId="0" xfId="273" applyNumberFormat="1"/>
    <xf numFmtId="0" fontId="20" fillId="0" borderId="0" xfId="273" applyFont="1" applyAlignment="1">
      <alignment horizontal="center"/>
    </xf>
    <xf numFmtId="0" fontId="10" fillId="0" borderId="0" xfId="273" applyFont="1"/>
    <xf numFmtId="0" fontId="68" fillId="0" borderId="0" xfId="273" applyFont="1"/>
    <xf numFmtId="0" fontId="20" fillId="0" borderId="0" xfId="273" applyFont="1"/>
    <xf numFmtId="0" fontId="12" fillId="0" borderId="0" xfId="273" applyFont="1" applyAlignment="1">
      <alignment horizontal="center"/>
    </xf>
    <xf numFmtId="3" fontId="14" fillId="0" borderId="0" xfId="273" applyNumberFormat="1"/>
    <xf numFmtId="169" fontId="12" fillId="0" borderId="0" xfId="273" applyNumberFormat="1" applyFont="1" applyAlignment="1">
      <alignment horizontal="center"/>
    </xf>
    <xf numFmtId="3" fontId="14" fillId="0" borderId="0" xfId="273" applyNumberFormat="1" applyAlignment="1">
      <alignment horizontal="center"/>
    </xf>
    <xf numFmtId="0" fontId="58" fillId="0" borderId="0" xfId="273" applyFont="1"/>
    <xf numFmtId="169" fontId="10" fillId="0" borderId="0" xfId="273" applyNumberFormat="1" applyFont="1"/>
    <xf numFmtId="10" fontId="10" fillId="0" borderId="0" xfId="273" applyNumberFormat="1" applyFont="1" applyAlignment="1">
      <alignment horizontal="center"/>
    </xf>
    <xf numFmtId="3" fontId="71" fillId="0" borderId="0" xfId="273" applyNumberFormat="1" applyFont="1"/>
    <xf numFmtId="3" fontId="10" fillId="0" borderId="0" xfId="273" applyNumberFormat="1" applyFont="1"/>
    <xf numFmtId="169" fontId="58" fillId="0" borderId="0" xfId="273" applyNumberFormat="1" applyFont="1"/>
    <xf numFmtId="169" fontId="58" fillId="0" borderId="0" xfId="273" applyNumberFormat="1" applyFont="1" applyAlignment="1">
      <alignment horizontal="center"/>
    </xf>
    <xf numFmtId="0" fontId="10" fillId="7" borderId="0" xfId="273" applyFont="1" applyFill="1" applyAlignment="1">
      <alignment horizontal="left"/>
    </xf>
    <xf numFmtId="0" fontId="10" fillId="7" borderId="0" xfId="273" applyFont="1" applyFill="1"/>
    <xf numFmtId="10" fontId="10" fillId="0" borderId="0" xfId="273" applyNumberFormat="1" applyFont="1"/>
    <xf numFmtId="173" fontId="10" fillId="0" borderId="0" xfId="273" applyNumberFormat="1" applyFont="1"/>
    <xf numFmtId="173" fontId="10" fillId="0" borderId="0" xfId="273" applyNumberFormat="1" applyFont="1" applyAlignment="1">
      <alignment horizontal="center"/>
    </xf>
    <xf numFmtId="0" fontId="10" fillId="0" borderId="5" xfId="273" applyFont="1" applyBorder="1"/>
    <xf numFmtId="10" fontId="10" fillId="0" borderId="5" xfId="273" applyNumberFormat="1" applyFont="1" applyBorder="1" applyAlignment="1">
      <alignment horizontal="center"/>
    </xf>
    <xf numFmtId="3" fontId="10" fillId="0" borderId="5" xfId="273" applyNumberFormat="1" applyFont="1" applyBorder="1"/>
    <xf numFmtId="10" fontId="14" fillId="0" borderId="0" xfId="273" applyNumberFormat="1" applyAlignment="1">
      <alignment horizontal="center"/>
    </xf>
    <xf numFmtId="169" fontId="14" fillId="0" borderId="0" xfId="273" applyNumberFormat="1" applyAlignment="1">
      <alignment horizontal="center"/>
    </xf>
    <xf numFmtId="0" fontId="14" fillId="7" borderId="0" xfId="273" applyFill="1"/>
    <xf numFmtId="169" fontId="14" fillId="7" borderId="0" xfId="273" applyNumberFormat="1" applyFill="1"/>
    <xf numFmtId="3" fontId="14" fillId="7" borderId="0" xfId="273" applyNumberFormat="1" applyFill="1"/>
    <xf numFmtId="3" fontId="14" fillId="0" borderId="0" xfId="273" applyNumberFormat="1" applyAlignment="1">
      <alignment vertical="top"/>
    </xf>
    <xf numFmtId="10" fontId="12" fillId="0" borderId="0" xfId="273" applyNumberFormat="1" applyFont="1" applyAlignment="1">
      <alignment horizontal="center"/>
    </xf>
    <xf numFmtId="0" fontId="20" fillId="0" borderId="5" xfId="273" applyFont="1" applyBorder="1" applyAlignment="1">
      <alignment horizontal="center"/>
    </xf>
    <xf numFmtId="3" fontId="14" fillId="7" borderId="5" xfId="273" applyNumberFormat="1" applyFill="1" applyBorder="1"/>
    <xf numFmtId="173" fontId="14" fillId="0" borderId="0" xfId="273" applyNumberFormat="1" applyAlignment="1">
      <alignment horizontal="center"/>
    </xf>
    <xf numFmtId="10" fontId="72" fillId="0" borderId="0" xfId="273" applyNumberFormat="1" applyFont="1" applyAlignment="1">
      <alignment horizontal="center"/>
    </xf>
    <xf numFmtId="2" fontId="14" fillId="0" borderId="0" xfId="273" applyNumberFormat="1" applyAlignment="1">
      <alignment horizontal="center"/>
    </xf>
    <xf numFmtId="0" fontId="5" fillId="0" borderId="5" xfId="0" applyFont="1" applyBorder="1"/>
    <xf numFmtId="0" fontId="5" fillId="0" borderId="4" xfId="0" applyFont="1" applyBorder="1"/>
    <xf numFmtId="0" fontId="14" fillId="10" borderId="5" xfId="0" applyFont="1" applyFill="1" applyBorder="1"/>
    <xf numFmtId="169" fontId="28" fillId="0" borderId="0" xfId="0" applyNumberFormat="1" applyFont="1" applyAlignment="1">
      <alignment vertical="top" wrapText="1"/>
    </xf>
    <xf numFmtId="0" fontId="14" fillId="0" borderId="1" xfId="0" applyFont="1" applyBorder="1"/>
    <xf numFmtId="169" fontId="14" fillId="0" borderId="3" xfId="0" applyNumberFormat="1" applyFont="1" applyBorder="1" applyAlignment="1">
      <alignment vertical="top"/>
    </xf>
    <xf numFmtId="169" fontId="5" fillId="0" borderId="4" xfId="0" applyNumberFormat="1" applyFont="1" applyBorder="1" applyAlignment="1">
      <alignment vertical="top"/>
    </xf>
    <xf numFmtId="169" fontId="5" fillId="0" borderId="8" xfId="0" applyNumberFormat="1" applyFont="1" applyBorder="1" applyAlignment="1">
      <alignment vertical="top"/>
    </xf>
    <xf numFmtId="0" fontId="14" fillId="0" borderId="0" xfId="0" applyFont="1" applyAlignment="1">
      <alignment horizontal="left" wrapText="1"/>
    </xf>
    <xf numFmtId="0" fontId="40" fillId="0" borderId="0" xfId="0" applyFont="1" applyAlignment="1">
      <alignment horizontal="left"/>
    </xf>
    <xf numFmtId="0" fontId="14"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3" fillId="0" borderId="0" xfId="273" applyFont="1" applyAlignment="1">
      <alignment vertical="top"/>
    </xf>
    <xf numFmtId="164" fontId="14" fillId="0" borderId="0" xfId="273" applyNumberFormat="1" applyAlignment="1">
      <alignment horizontal="right"/>
    </xf>
    <xf numFmtId="0" fontId="14" fillId="0" borderId="0" xfId="547"/>
    <xf numFmtId="49" fontId="14" fillId="0" borderId="0" xfId="273" applyNumberFormat="1" applyAlignment="1">
      <alignment horizontal="center"/>
    </xf>
    <xf numFmtId="0" fontId="12" fillId="0" borderId="3" xfId="0" applyFont="1" applyBorder="1"/>
    <xf numFmtId="0" fontId="13" fillId="0" borderId="4" xfId="0" applyFont="1" applyBorder="1" applyAlignment="1">
      <alignment horizontal="right"/>
    </xf>
    <xf numFmtId="0" fontId="12" fillId="0" borderId="5" xfId="0" applyFont="1" applyBorder="1"/>
    <xf numFmtId="4" fontId="14"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4" fillId="0" borderId="18" xfId="0" applyNumberFormat="1" applyFont="1" applyBorder="1"/>
    <xf numFmtId="1" fontId="34" fillId="0" borderId="17" xfId="0" applyNumberFormat="1" applyFont="1" applyBorder="1"/>
    <xf numFmtId="1" fontId="34" fillId="0" borderId="15" xfId="0" applyNumberFormat="1" applyFont="1" applyBorder="1"/>
    <xf numFmtId="4" fontId="0" fillId="0" borderId="0" xfId="0" applyNumberFormat="1"/>
    <xf numFmtId="49" fontId="14" fillId="0" borderId="0" xfId="273" applyNumberFormat="1"/>
    <xf numFmtId="0" fontId="13" fillId="0" borderId="5" xfId="273" applyFont="1" applyBorder="1" applyAlignment="1">
      <alignment horizontal="center"/>
    </xf>
    <xf numFmtId="0" fontId="13" fillId="0" borderId="0" xfId="273" applyFont="1"/>
    <xf numFmtId="165" fontId="34" fillId="0" borderId="0" xfId="0" applyNumberFormat="1" applyFont="1"/>
    <xf numFmtId="171" fontId="34" fillId="0" borderId="17" xfId="0" applyNumberFormat="1" applyFont="1" applyBorder="1"/>
    <xf numFmtId="1" fontId="12" fillId="0" borderId="12" xfId="0" applyNumberFormat="1" applyFont="1" applyBorder="1"/>
    <xf numFmtId="165" fontId="12" fillId="0" borderId="12" xfId="0" applyNumberFormat="1" applyFont="1" applyBorder="1"/>
    <xf numFmtId="0" fontId="28" fillId="0" borderId="12" xfId="0" applyFont="1" applyBorder="1" applyAlignment="1">
      <alignment horizontal="right" vertical="top"/>
    </xf>
    <xf numFmtId="0" fontId="12" fillId="0" borderId="0" xfId="545" applyFont="1"/>
    <xf numFmtId="0" fontId="23" fillId="9" borderId="0" xfId="545" applyFont="1" applyFill="1"/>
    <xf numFmtId="0" fontId="14" fillId="9" borderId="0" xfId="545" quotePrefix="1" applyFont="1" applyFill="1" applyAlignment="1">
      <alignment horizontal="left"/>
    </xf>
    <xf numFmtId="0" fontId="14" fillId="9" borderId="0" xfId="545" applyFont="1" applyFill="1"/>
    <xf numFmtId="0" fontId="65" fillId="0" borderId="0" xfId="545"/>
    <xf numFmtId="5" fontId="14" fillId="0" borderId="0" xfId="545" applyNumberFormat="1" applyFont="1"/>
    <xf numFmtId="0" fontId="13" fillId="0" borderId="5" xfId="273" applyFont="1" applyBorder="1" applyAlignment="1">
      <alignment horizontal="left"/>
    </xf>
    <xf numFmtId="0" fontId="13" fillId="0" borderId="5" xfId="273" applyFont="1" applyBorder="1" applyAlignment="1">
      <alignment horizontal="right"/>
    </xf>
    <xf numFmtId="0" fontId="17" fillId="0" borderId="0" xfId="0" applyFont="1" applyAlignment="1">
      <alignment vertical="center"/>
    </xf>
    <xf numFmtId="0" fontId="5" fillId="0" borderId="18" xfId="0" applyFont="1" applyBorder="1"/>
    <xf numFmtId="0" fontId="5" fillId="0" borderId="12" xfId="0" applyFont="1" applyBorder="1"/>
    <xf numFmtId="0" fontId="12" fillId="0" borderId="19" xfId="0" applyFont="1" applyBorder="1"/>
    <xf numFmtId="0" fontId="10" fillId="0" borderId="12" xfId="254" applyFont="1" applyBorder="1" applyAlignment="1" applyProtection="1">
      <alignment horizontal="center" wrapText="1"/>
      <protection locked="0"/>
    </xf>
    <xf numFmtId="0" fontId="14" fillId="0" borderId="0" xfId="273" quotePrefix="1" applyAlignment="1">
      <alignment horizontal="center"/>
    </xf>
    <xf numFmtId="1" fontId="14" fillId="0" borderId="0" xfId="273" applyNumberFormat="1"/>
    <xf numFmtId="0" fontId="13" fillId="0" borderId="0" xfId="0" quotePrefix="1" applyFont="1" applyAlignment="1">
      <alignment horizontal="right"/>
    </xf>
    <xf numFmtId="1" fontId="5" fillId="0" borderId="12" xfId="546" applyNumberFormat="1" applyBorder="1"/>
    <xf numFmtId="0" fontId="18" fillId="0" borderId="1" xfId="0" applyFont="1" applyBorder="1"/>
    <xf numFmtId="0" fontId="18" fillId="0" borderId="7" xfId="0" applyFont="1" applyBorder="1"/>
    <xf numFmtId="0" fontId="18" fillId="0" borderId="9" xfId="0" applyFont="1" applyBorder="1"/>
    <xf numFmtId="0" fontId="5" fillId="0" borderId="10" xfId="0" applyFont="1" applyBorder="1"/>
    <xf numFmtId="0" fontId="28" fillId="2" borderId="11" xfId="0" applyFont="1" applyFill="1" applyBorder="1" applyAlignment="1">
      <alignment vertical="top" wrapText="1"/>
    </xf>
    <xf numFmtId="0" fontId="28" fillId="0" borderId="18" xfId="0" applyFont="1" applyBorder="1" applyAlignment="1">
      <alignment vertical="top" wrapText="1"/>
    </xf>
    <xf numFmtId="0" fontId="52" fillId="2" borderId="15" xfId="0" applyFont="1" applyFill="1" applyBorder="1" applyAlignment="1">
      <alignment vertical="top" wrapText="1"/>
    </xf>
    <xf numFmtId="0" fontId="52" fillId="0" borderId="0" xfId="0" applyFont="1" applyAlignment="1">
      <alignment vertical="top" wrapText="1"/>
    </xf>
    <xf numFmtId="0" fontId="52" fillId="2" borderId="0" xfId="0" applyFont="1" applyFill="1" applyAlignment="1">
      <alignment vertical="top" wrapText="1"/>
    </xf>
    <xf numFmtId="0" fontId="52" fillId="0" borderId="0" xfId="0" applyFont="1" applyAlignment="1">
      <alignment horizontal="right" vertical="top" wrapText="1"/>
    </xf>
    <xf numFmtId="0" fontId="0" fillId="7" borderId="3" xfId="0" applyFill="1" applyBorder="1"/>
    <xf numFmtId="0" fontId="75" fillId="0" borderId="0" xfId="0" applyFont="1" applyAlignment="1">
      <alignment vertical="center"/>
    </xf>
    <xf numFmtId="0" fontId="75" fillId="0" borderId="0" xfId="0" applyFont="1" applyAlignment="1">
      <alignment horizontal="left" vertical="center" indent="1"/>
    </xf>
    <xf numFmtId="0" fontId="75" fillId="0" borderId="0" xfId="0" applyFont="1" applyAlignment="1">
      <alignment vertical="center" wrapText="1"/>
    </xf>
    <xf numFmtId="173" fontId="14" fillId="7" borderId="0" xfId="273" applyNumberFormat="1" applyFill="1" applyAlignment="1">
      <alignment horizontal="center"/>
    </xf>
    <xf numFmtId="0" fontId="5" fillId="0" borderId="0" xfId="0" applyFont="1" applyAlignment="1">
      <alignment horizontal="center"/>
    </xf>
    <xf numFmtId="0" fontId="35" fillId="0" borderId="0" xfId="0" applyFont="1" applyAlignment="1">
      <alignment vertical="center" wrapText="1"/>
    </xf>
    <xf numFmtId="0" fontId="13" fillId="0" borderId="0" xfId="0" applyFont="1" applyProtection="1">
      <protection locked="0"/>
    </xf>
    <xf numFmtId="0" fontId="12" fillId="0" borderId="0" xfId="273" applyFont="1" applyAlignment="1">
      <alignment horizontal="left"/>
    </xf>
    <xf numFmtId="0" fontId="12" fillId="0" borderId="0" xfId="273" applyFont="1" applyAlignment="1">
      <alignment horizontal="right"/>
    </xf>
    <xf numFmtId="1" fontId="14" fillId="0" borderId="0" xfId="273" applyNumberFormat="1" applyAlignment="1">
      <alignment horizontal="center"/>
    </xf>
    <xf numFmtId="0" fontId="14" fillId="0" borderId="0" xfId="0" quotePrefix="1" applyFont="1" applyAlignment="1">
      <alignment horizontal="center" vertical="top"/>
    </xf>
    <xf numFmtId="49" fontId="13" fillId="0" borderId="0" xfId="0" applyNumberFormat="1" applyFont="1" applyAlignment="1">
      <alignment horizontal="left" vertical="center" wrapText="1"/>
    </xf>
    <xf numFmtId="9" fontId="10" fillId="7" borderId="0" xfId="273" applyNumberFormat="1" applyFont="1" applyFill="1" applyAlignment="1" applyProtection="1">
      <alignment horizontal="right"/>
      <protection locked="0"/>
    </xf>
    <xf numFmtId="1" fontId="10" fillId="7" borderId="0" xfId="273" applyNumberFormat="1" applyFont="1" applyFill="1" applyAlignment="1" applyProtection="1">
      <alignment horizontal="center"/>
      <protection locked="0"/>
    </xf>
    <xf numFmtId="169" fontId="10" fillId="7" borderId="0" xfId="273" applyNumberFormat="1" applyFont="1" applyFill="1" applyAlignment="1" applyProtection="1">
      <alignment horizontal="center"/>
      <protection locked="0"/>
    </xf>
    <xf numFmtId="0" fontId="46" fillId="0" borderId="0" xfId="273" applyFont="1" applyAlignment="1">
      <alignment horizontal="center"/>
    </xf>
    <xf numFmtId="0" fontId="6" fillId="0" borderId="0" xfId="245"/>
    <xf numFmtId="0" fontId="55" fillId="0" borderId="0" xfId="0" applyFont="1"/>
    <xf numFmtId="0" fontId="55" fillId="0" borderId="0" xfId="0" applyFont="1" applyAlignment="1">
      <alignment vertical="top"/>
    </xf>
    <xf numFmtId="0" fontId="10" fillId="7" borderId="0" xfId="273" applyFont="1" applyFill="1" applyAlignment="1" applyProtection="1">
      <alignment horizontal="left"/>
      <protection locked="0"/>
    </xf>
    <xf numFmtId="0" fontId="28" fillId="0" borderId="0" xfId="273" applyFont="1"/>
    <xf numFmtId="0" fontId="13" fillId="0" borderId="0" xfId="0" applyFont="1" applyAlignment="1">
      <alignment horizontal="left" vertical="center" shrinkToFit="1"/>
    </xf>
    <xf numFmtId="49" fontId="57" fillId="0" borderId="0" xfId="273" applyNumberFormat="1" applyFont="1" applyAlignment="1">
      <alignment horizontal="center" vertical="center"/>
    </xf>
    <xf numFmtId="0" fontId="58" fillId="0" borderId="0" xfId="273" applyFont="1" applyAlignment="1">
      <alignment vertical="center"/>
    </xf>
    <xf numFmtId="0" fontId="10" fillId="0" borderId="5" xfId="273" applyFont="1" applyBorder="1" applyAlignment="1">
      <alignment vertical="center"/>
    </xf>
    <xf numFmtId="0" fontId="10" fillId="0" borderId="0" xfId="273" applyFont="1" applyAlignment="1">
      <alignment vertical="center"/>
    </xf>
    <xf numFmtId="0" fontId="10" fillId="0" borderId="5" xfId="273" applyFont="1" applyBorder="1" applyAlignment="1">
      <alignment horizontal="center"/>
    </xf>
    <xf numFmtId="0" fontId="10" fillId="0" borderId="5" xfId="273" applyFont="1" applyBorder="1" applyAlignment="1">
      <alignment horizontal="center" vertical="center"/>
    </xf>
    <xf numFmtId="0" fontId="67" fillId="0" borderId="5" xfId="273" applyFont="1" applyBorder="1" applyAlignment="1">
      <alignment horizontal="right" vertical="center"/>
    </xf>
    <xf numFmtId="0" fontId="10" fillId="0" borderId="5" xfId="273" applyFont="1" applyBorder="1" applyAlignment="1">
      <alignment horizontal="right" vertical="center"/>
    </xf>
    <xf numFmtId="0" fontId="68" fillId="0" borderId="0" xfId="273" applyFont="1" applyAlignment="1">
      <alignment horizontal="right" vertical="center"/>
    </xf>
    <xf numFmtId="0" fontId="60" fillId="0" borderId="0" xfId="273" applyFont="1"/>
    <xf numFmtId="0" fontId="68" fillId="0" borderId="0" xfId="273" applyFont="1" applyAlignment="1">
      <alignment horizontal="left" vertical="center"/>
    </xf>
    <xf numFmtId="169" fontId="10" fillId="0" borderId="5" xfId="273" applyNumberFormat="1" applyFont="1" applyBorder="1"/>
    <xf numFmtId="169" fontId="10" fillId="0" borderId="13" xfId="273" applyNumberFormat="1" applyFont="1" applyBorder="1"/>
    <xf numFmtId="169" fontId="10" fillId="0" borderId="0" xfId="273" applyNumberFormat="1" applyFont="1" applyAlignment="1">
      <alignment horizontal="right"/>
    </xf>
    <xf numFmtId="0" fontId="44" fillId="0" borderId="0" xfId="273" applyFont="1" applyAlignment="1">
      <alignment horizontal="right" vertical="center"/>
    </xf>
    <xf numFmtId="169" fontId="10" fillId="0" borderId="5" xfId="273" applyNumberFormat="1" applyFont="1" applyBorder="1" applyAlignment="1">
      <alignment horizontal="right"/>
    </xf>
    <xf numFmtId="0" fontId="58" fillId="0" borderId="0" xfId="273" applyFont="1" applyAlignment="1">
      <alignment horizontal="right"/>
    </xf>
    <xf numFmtId="169" fontId="10" fillId="0" borderId="2" xfId="273" applyNumberFormat="1" applyFont="1" applyBorder="1"/>
    <xf numFmtId="0" fontId="58" fillId="0" borderId="5" xfId="273" applyFont="1" applyBorder="1" applyAlignment="1">
      <alignment horizontal="right"/>
    </xf>
    <xf numFmtId="0" fontId="59" fillId="0" borderId="0" xfId="273" applyFont="1"/>
    <xf numFmtId="0" fontId="10" fillId="0" borderId="0" xfId="273" applyFont="1" applyAlignment="1">
      <alignment horizontal="right" vertical="center"/>
    </xf>
    <xf numFmtId="0" fontId="10" fillId="0" borderId="0" xfId="273" applyFont="1" applyAlignment="1">
      <alignment horizontal="right"/>
    </xf>
    <xf numFmtId="0" fontId="58" fillId="0" borderId="0" xfId="273" applyFont="1" applyAlignment="1">
      <alignment vertical="center" wrapText="1"/>
    </xf>
    <xf numFmtId="0" fontId="10" fillId="0" borderId="7" xfId="273" applyFont="1" applyBorder="1"/>
    <xf numFmtId="0" fontId="44" fillId="0" borderId="0" xfId="273" applyFont="1" applyAlignment="1">
      <alignment horizontal="left"/>
    </xf>
    <xf numFmtId="9" fontId="10" fillId="0" borderId="5" xfId="273" applyNumberFormat="1" applyFont="1" applyBorder="1" applyAlignment="1">
      <alignment horizontal="center"/>
    </xf>
    <xf numFmtId="9" fontId="10" fillId="0" borderId="5" xfId="273" quotePrefix="1" applyNumberFormat="1" applyFont="1" applyBorder="1" applyAlignment="1">
      <alignment horizontal="center"/>
    </xf>
    <xf numFmtId="6" fontId="10" fillId="0" borderId="0" xfId="273" applyNumberFormat="1" applyFont="1"/>
    <xf numFmtId="9" fontId="10" fillId="0" borderId="0" xfId="273" applyNumberFormat="1" applyFont="1"/>
    <xf numFmtId="165" fontId="10" fillId="0" borderId="5" xfId="273" applyNumberFormat="1" applyFont="1" applyBorder="1" applyAlignment="1">
      <alignment horizontal="right"/>
    </xf>
    <xf numFmtId="165" fontId="10" fillId="0" borderId="0" xfId="273" applyNumberFormat="1" applyFont="1" applyAlignment="1">
      <alignment horizontal="right"/>
    </xf>
    <xf numFmtId="2" fontId="10" fillId="0" borderId="0" xfId="273" applyNumberFormat="1" applyFont="1"/>
    <xf numFmtId="0" fontId="10" fillId="0" borderId="0" xfId="273" applyFont="1" applyAlignment="1">
      <alignment horizontal="center"/>
    </xf>
    <xf numFmtId="169" fontId="10" fillId="0" borderId="0" xfId="273" applyNumberFormat="1" applyFont="1" applyAlignment="1">
      <alignment horizontal="center"/>
    </xf>
    <xf numFmtId="5" fontId="79" fillId="45" borderId="12" xfId="544" applyNumberFormat="1" applyFont="1" applyFill="1" applyBorder="1" applyAlignment="1" applyProtection="1">
      <alignment horizontal="center"/>
    </xf>
    <xf numFmtId="5" fontId="79" fillId="0" borderId="12" xfId="544" applyNumberFormat="1" applyFont="1" applyBorder="1" applyAlignment="1" applyProtection="1">
      <alignment horizontal="center"/>
    </xf>
    <xf numFmtId="5" fontId="79" fillId="2" borderId="12" xfId="544" applyNumberFormat="1" applyFont="1" applyFill="1" applyBorder="1" applyAlignment="1" applyProtection="1">
      <alignment horizontal="center"/>
    </xf>
    <xf numFmtId="0" fontId="28" fillId="0" borderId="0" xfId="0" applyFont="1" applyAlignment="1">
      <alignment horizontal="right" vertical="top" wrapText="1"/>
    </xf>
    <xf numFmtId="0" fontId="19" fillId="0" borderId="0" xfId="0" applyFont="1" applyAlignment="1">
      <alignment horizontal="right" vertical="top" wrapText="1"/>
    </xf>
    <xf numFmtId="169" fontId="28" fillId="7" borderId="5" xfId="0" applyNumberFormat="1" applyFont="1" applyFill="1" applyBorder="1" applyAlignment="1" applyProtection="1">
      <alignment horizontal="right" vertical="top" wrapText="1"/>
      <protection locked="0"/>
    </xf>
    <xf numFmtId="169" fontId="28" fillId="0" borderId="5" xfId="0" applyNumberFormat="1" applyFont="1" applyBorder="1" applyAlignment="1">
      <alignment horizontal="right" vertical="top" wrapText="1"/>
    </xf>
    <xf numFmtId="0" fontId="14" fillId="0" borderId="0" xfId="0" applyFont="1" applyAlignment="1">
      <alignment horizontal="right" vertical="top" wrapText="1"/>
    </xf>
    <xf numFmtId="0" fontId="52" fillId="0" borderId="18" xfId="0" applyFont="1" applyBorder="1" applyAlignment="1">
      <alignment vertical="top" wrapText="1"/>
    </xf>
    <xf numFmtId="0" fontId="52" fillId="2" borderId="18" xfId="0" applyFont="1" applyFill="1" applyBorder="1" applyAlignment="1">
      <alignment vertical="top" wrapText="1"/>
    </xf>
    <xf numFmtId="0" fontId="20" fillId="0" borderId="0" xfId="0" applyFont="1" applyAlignment="1">
      <alignment horizontal="left" vertical="center"/>
    </xf>
    <xf numFmtId="0" fontId="21" fillId="0" borderId="0" xfId="0" applyFont="1" applyAlignment="1">
      <alignment vertical="top" wrapText="1"/>
    </xf>
    <xf numFmtId="0" fontId="21" fillId="2" borderId="0" xfId="0" applyFont="1" applyFill="1" applyAlignment="1">
      <alignment vertical="top" wrapText="1"/>
    </xf>
    <xf numFmtId="0" fontId="81" fillId="0" borderId="0" xfId="546" applyFont="1"/>
    <xf numFmtId="0" fontId="12" fillId="0" borderId="2" xfId="546" applyFont="1" applyBorder="1" applyAlignment="1">
      <alignment horizontal="center"/>
    </xf>
    <xf numFmtId="0" fontId="12" fillId="0" borderId="0" xfId="546" applyFont="1" applyAlignment="1">
      <alignment horizontal="center"/>
    </xf>
    <xf numFmtId="0" fontId="81" fillId="0" borderId="0" xfId="0" applyFont="1"/>
    <xf numFmtId="169" fontId="81" fillId="0" borderId="0" xfId="0" applyNumberFormat="1" applyFont="1" applyAlignment="1">
      <alignment horizontal="left" vertical="top"/>
    </xf>
    <xf numFmtId="169" fontId="13" fillId="0" borderId="0" xfId="0" applyNumberFormat="1" applyFont="1" applyAlignment="1">
      <alignment horizontal="left" vertical="top" wrapText="1"/>
    </xf>
    <xf numFmtId="0" fontId="6" fillId="0" borderId="0" xfId="245" quotePrefix="1" applyAlignment="1" applyProtection="1">
      <alignment horizontal="left"/>
    </xf>
    <xf numFmtId="0" fontId="106" fillId="0" borderId="0" xfId="0" applyFont="1" applyAlignment="1">
      <alignment horizontal="left" vertical="top"/>
    </xf>
    <xf numFmtId="0" fontId="49" fillId="0" borderId="0" xfId="0" applyFont="1" applyAlignment="1">
      <alignment horizontal="center"/>
    </xf>
    <xf numFmtId="0" fontId="76" fillId="0" borderId="0" xfId="0" applyFont="1" applyAlignment="1">
      <alignment horizontal="left" vertical="top"/>
    </xf>
    <xf numFmtId="0" fontId="75" fillId="0" borderId="0" xfId="0" applyFont="1"/>
    <xf numFmtId="0" fontId="40" fillId="0" borderId="0" xfId="273" applyFont="1" applyAlignment="1">
      <alignment horizontal="left"/>
    </xf>
    <xf numFmtId="0" fontId="19" fillId="0" borderId="13" xfId="0" applyFont="1" applyBorder="1" applyAlignment="1" applyProtection="1">
      <alignment vertical="top" wrapText="1"/>
      <protection locked="0"/>
    </xf>
    <xf numFmtId="0" fontId="12" fillId="0" borderId="0" xfId="0" applyFont="1" applyAlignment="1" applyProtection="1">
      <alignment horizontal="center" wrapText="1"/>
      <protection locked="0"/>
    </xf>
    <xf numFmtId="0" fontId="14" fillId="0" borderId="0" xfId="0" applyFont="1" applyAlignment="1" applyProtection="1">
      <alignment vertical="top" wrapText="1"/>
      <protection locked="0"/>
    </xf>
    <xf numFmtId="0" fontId="12" fillId="0" borderId="0" xfId="0" applyFont="1" applyAlignment="1" applyProtection="1">
      <alignment vertical="top" wrapText="1"/>
      <protection locked="0"/>
    </xf>
    <xf numFmtId="0" fontId="12" fillId="9" borderId="12" xfId="545" applyFont="1" applyFill="1" applyBorder="1" applyAlignment="1">
      <alignment horizontal="left"/>
    </xf>
    <xf numFmtId="0" fontId="12" fillId="9" borderId="12" xfId="545" applyFont="1" applyFill="1" applyBorder="1" applyAlignment="1">
      <alignment horizontal="center"/>
    </xf>
    <xf numFmtId="0" fontId="66" fillId="9" borderId="12" xfId="545" applyFont="1" applyFill="1" applyBorder="1" applyAlignment="1">
      <alignment horizontal="left"/>
    </xf>
    <xf numFmtId="169" fontId="14" fillId="0" borderId="12" xfId="543" applyNumberFormat="1" applyBorder="1" applyAlignment="1" applyProtection="1">
      <alignment horizontal="center"/>
    </xf>
    <xf numFmtId="0" fontId="66" fillId="0" borderId="12" xfId="545" applyFont="1" applyBorder="1" applyAlignment="1">
      <alignment horizontal="left"/>
    </xf>
    <xf numFmtId="0" fontId="52" fillId="0" borderId="13" xfId="0" applyFont="1" applyBorder="1" applyAlignment="1">
      <alignment vertical="top" wrapText="1"/>
    </xf>
    <xf numFmtId="0" fontId="85" fillId="0" borderId="0" xfId="0" applyFont="1" applyAlignment="1">
      <alignment horizontal="left"/>
    </xf>
    <xf numFmtId="0" fontId="49" fillId="0" borderId="0" xfId="0" applyFont="1" applyAlignment="1">
      <alignment vertical="top" wrapText="1"/>
    </xf>
    <xf numFmtId="0" fontId="19" fillId="0" borderId="7" xfId="0" applyFont="1" applyBorder="1" applyAlignment="1">
      <alignment vertical="top" wrapText="1"/>
    </xf>
    <xf numFmtId="0" fontId="28" fillId="0" borderId="7" xfId="0" applyFont="1" applyBorder="1" applyAlignment="1">
      <alignment vertical="top" wrapText="1"/>
    </xf>
    <xf numFmtId="0" fontId="49" fillId="0" borderId="7" xfId="0" applyFont="1" applyBorder="1" applyAlignment="1">
      <alignment vertical="top" wrapText="1"/>
    </xf>
    <xf numFmtId="0" fontId="52" fillId="0" borderId="7" xfId="0" applyFont="1" applyBorder="1" applyAlignment="1">
      <alignment vertical="top" wrapText="1"/>
    </xf>
    <xf numFmtId="0" fontId="28" fillId="0" borderId="13" xfId="0" applyFont="1" applyBorder="1" applyAlignment="1">
      <alignment vertical="top" wrapText="1"/>
    </xf>
    <xf numFmtId="6" fontId="28" fillId="6" borderId="12" xfId="0" applyNumberFormat="1" applyFont="1" applyFill="1" applyBorder="1" applyAlignment="1">
      <alignment vertical="top" wrapText="1"/>
    </xf>
    <xf numFmtId="6" fontId="28" fillId="0" borderId="12" xfId="0" applyNumberFormat="1" applyFont="1" applyBorder="1" applyAlignment="1">
      <alignment vertical="top" wrapText="1"/>
    </xf>
    <xf numFmtId="6" fontId="28" fillId="7" borderId="12" xfId="0" applyNumberFormat="1" applyFont="1" applyFill="1" applyBorder="1" applyAlignment="1" applyProtection="1">
      <alignment vertical="top" wrapText="1"/>
      <protection locked="0"/>
    </xf>
    <xf numFmtId="6" fontId="28" fillId="8" borderId="12" xfId="0" applyNumberFormat="1" applyFont="1" applyFill="1" applyBorder="1" applyAlignment="1">
      <alignment horizontal="center" vertical="top" wrapText="1"/>
    </xf>
    <xf numFmtId="6" fontId="49" fillId="0" borderId="12" xfId="0" applyNumberFormat="1" applyFont="1" applyBorder="1" applyAlignment="1">
      <alignment vertical="top" wrapText="1"/>
    </xf>
    <xf numFmtId="6" fontId="28" fillId="0" borderId="0" xfId="0" applyNumberFormat="1" applyFont="1" applyAlignment="1">
      <alignment horizontal="left" vertical="top"/>
    </xf>
    <xf numFmtId="6" fontId="28" fillId="0" borderId="0" xfId="0" applyNumberFormat="1" applyFont="1" applyAlignment="1">
      <alignment vertical="top" wrapText="1"/>
    </xf>
    <xf numFmtId="0" fontId="6" fillId="0" borderId="0" xfId="245" applyAlignment="1">
      <alignment horizontal="center"/>
    </xf>
    <xf numFmtId="0" fontId="6" fillId="0" borderId="0" xfId="245" applyBorder="1" applyAlignment="1">
      <alignment horizontal="center"/>
    </xf>
    <xf numFmtId="0" fontId="6" fillId="0" borderId="0" xfId="245" applyBorder="1" applyAlignment="1" applyProtection="1">
      <alignment horizontal="left"/>
    </xf>
    <xf numFmtId="0" fontId="14" fillId="0" borderId="3" xfId="259" applyBorder="1"/>
    <xf numFmtId="0" fontId="49" fillId="0" borderId="3" xfId="0" applyFont="1" applyBorder="1" applyAlignment="1">
      <alignment horizontal="left"/>
    </xf>
    <xf numFmtId="0" fontId="49" fillId="0" borderId="7" xfId="0" applyFont="1" applyBorder="1" applyAlignment="1">
      <alignment horizontal="center" wrapText="1"/>
    </xf>
    <xf numFmtId="0" fontId="49" fillId="0" borderId="0" xfId="0" applyFont="1" applyAlignment="1">
      <alignment horizontal="center" wrapText="1"/>
    </xf>
    <xf numFmtId="0" fontId="25" fillId="0" borderId="0" xfId="0" applyFont="1" applyAlignment="1">
      <alignment vertical="top" wrapText="1"/>
    </xf>
    <xf numFmtId="169" fontId="0" fillId="0" borderId="0" xfId="0" applyNumberFormat="1" applyAlignment="1">
      <alignment wrapText="1"/>
    </xf>
    <xf numFmtId="0" fontId="10" fillId="0" borderId="0" xfId="0" applyFont="1"/>
    <xf numFmtId="0" fontId="10" fillId="0" borderId="12" xfId="254" applyFont="1" applyBorder="1" applyAlignment="1">
      <alignment horizontal="center" wrapText="1"/>
    </xf>
    <xf numFmtId="0" fontId="10" fillId="0" borderId="0" xfId="254" applyFont="1" applyAlignment="1">
      <alignment horizontal="center" wrapText="1"/>
    </xf>
    <xf numFmtId="3" fontId="10" fillId="0" borderId="12" xfId="0" applyNumberFormat="1" applyFont="1" applyBorder="1"/>
    <xf numFmtId="3" fontId="10" fillId="0" borderId="0" xfId="0" applyNumberFormat="1" applyFont="1"/>
    <xf numFmtId="0" fontId="58" fillId="0" borderId="0" xfId="0" applyFont="1" applyAlignment="1">
      <alignment horizontal="left"/>
    </xf>
    <xf numFmtId="0" fontId="58" fillId="0" borderId="0" xfId="0" applyFont="1" applyAlignment="1">
      <alignment horizontal="right"/>
    </xf>
    <xf numFmtId="169" fontId="10" fillId="0" borderId="12" xfId="0" applyNumberFormat="1" applyFont="1" applyBorder="1"/>
    <xf numFmtId="169" fontId="10" fillId="0" borderId="0" xfId="0" applyNumberFormat="1" applyFont="1"/>
    <xf numFmtId="0" fontId="14" fillId="0" borderId="0" xfId="273" applyAlignment="1">
      <alignment horizontal="left" wrapText="1"/>
    </xf>
    <xf numFmtId="0" fontId="0" fillId="7" borderId="5" xfId="0" applyFill="1" applyBorder="1" applyProtection="1">
      <protection locked="0"/>
    </xf>
    <xf numFmtId="0" fontId="24" fillId="0" borderId="0" xfId="0" applyFont="1" applyAlignment="1">
      <alignment wrapText="1"/>
    </xf>
    <xf numFmtId="0" fontId="14" fillId="0" borderId="4" xfId="0" applyFont="1" applyBorder="1" applyAlignment="1">
      <alignment horizontal="left"/>
    </xf>
    <xf numFmtId="0" fontId="69" fillId="0" borderId="0" xfId="0" applyFont="1"/>
    <xf numFmtId="4" fontId="14" fillId="0" borderId="0" xfId="273" applyNumberFormat="1" applyAlignment="1">
      <alignment horizontal="left" vertical="top" wrapText="1"/>
    </xf>
    <xf numFmtId="0" fontId="28" fillId="0" borderId="7" xfId="0" applyFont="1" applyBorder="1"/>
    <xf numFmtId="0" fontId="28" fillId="0" borderId="4" xfId="0" applyFont="1" applyBorder="1"/>
    <xf numFmtId="0" fontId="28" fillId="0" borderId="3" xfId="0" applyFont="1" applyBorder="1"/>
    <xf numFmtId="0" fontId="28" fillId="0" borderId="1" xfId="0" applyFont="1" applyBorder="1"/>
    <xf numFmtId="0" fontId="49" fillId="0" borderId="0" xfId="0" applyFont="1" applyAlignment="1">
      <alignment horizontal="right"/>
    </xf>
    <xf numFmtId="0" fontId="49" fillId="0" borderId="9" xfId="0" applyFont="1" applyBorder="1" applyAlignment="1">
      <alignment horizontal="left"/>
    </xf>
    <xf numFmtId="0" fontId="49" fillId="0" borderId="4" xfId="0" applyFont="1" applyBorder="1"/>
    <xf numFmtId="0" fontId="28" fillId="0" borderId="5" xfId="0" applyFont="1" applyBorder="1"/>
    <xf numFmtId="0" fontId="49" fillId="0" borderId="5" xfId="0" applyFont="1" applyBorder="1" applyAlignment="1">
      <alignment horizontal="right"/>
    </xf>
    <xf numFmtId="0" fontId="28" fillId="0" borderId="9" xfId="0" applyFont="1" applyBorder="1"/>
    <xf numFmtId="0" fontId="13" fillId="0" borderId="12" xfId="0" applyFont="1" applyBorder="1" applyAlignment="1">
      <alignment horizontal="center"/>
    </xf>
    <xf numFmtId="0" fontId="6" fillId="0" borderId="0" xfId="245" applyNumberFormat="1" applyFill="1" applyAlignment="1" applyProtection="1">
      <alignment horizontal="left"/>
      <protection locked="0"/>
    </xf>
    <xf numFmtId="0" fontId="14" fillId="0" borderId="0" xfId="259" applyAlignment="1">
      <alignment horizontal="left" vertical="top" wrapText="1"/>
    </xf>
    <xf numFmtId="0" fontId="14" fillId="0" borderId="0" xfId="273" applyAlignment="1">
      <alignment horizontal="left" vertical="top" wrapText="1"/>
    </xf>
    <xf numFmtId="0" fontId="10"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10" fillId="7" borderId="4" xfId="273" applyNumberFormat="1" applyFont="1" applyFill="1" applyBorder="1" applyAlignment="1" applyProtection="1">
      <alignment horizontal="right"/>
      <protection locked="0"/>
    </xf>
    <xf numFmtId="0" fontId="107" fillId="0" borderId="0" xfId="273" applyFont="1"/>
    <xf numFmtId="0" fontId="10" fillId="7" borderId="5" xfId="273" applyFont="1" applyFill="1" applyBorder="1" applyProtection="1">
      <protection locked="0"/>
    </xf>
    <xf numFmtId="0" fontId="10" fillId="0" borderId="2" xfId="273" applyFont="1" applyBorder="1"/>
    <xf numFmtId="0" fontId="58" fillId="0" borderId="2" xfId="273" applyFont="1" applyBorder="1" applyAlignment="1">
      <alignment vertical="center"/>
    </xf>
    <xf numFmtId="6" fontId="10" fillId="0" borderId="12" xfId="273" applyNumberFormat="1" applyFont="1" applyBorder="1" applyAlignment="1">
      <alignment horizontal="right"/>
    </xf>
    <xf numFmtId="1" fontId="10" fillId="0" borderId="4" xfId="273" applyNumberFormat="1" applyFont="1" applyBorder="1" applyAlignment="1">
      <alignment horizontal="center" vertical="center"/>
    </xf>
    <xf numFmtId="2" fontId="10" fillId="0" borderId="5" xfId="273" applyNumberFormat="1" applyFont="1" applyBorder="1" applyAlignment="1">
      <alignment horizontal="center" vertical="center"/>
    </xf>
    <xf numFmtId="0" fontId="14" fillId="0" borderId="0" xfId="0" quotePrefix="1" applyFont="1" applyAlignment="1">
      <alignment horizontal="left" vertical="top"/>
    </xf>
    <xf numFmtId="169" fontId="14" fillId="0" borderId="0" xfId="547" applyNumberFormat="1"/>
    <xf numFmtId="1" fontId="0" fillId="0" borderId="0" xfId="0" applyNumberFormat="1"/>
    <xf numFmtId="165" fontId="10" fillId="0" borderId="0" xfId="273" applyNumberFormat="1" applyFont="1"/>
    <xf numFmtId="0" fontId="5" fillId="0" borderId="0" xfId="546" applyAlignment="1">
      <alignment vertical="top"/>
    </xf>
    <xf numFmtId="0" fontId="13" fillId="0" borderId="0" xfId="0" applyFont="1" applyAlignment="1">
      <alignment horizontal="right" vertical="top"/>
    </xf>
    <xf numFmtId="169" fontId="5" fillId="0" borderId="0" xfId="546" applyNumberFormat="1" applyAlignment="1">
      <alignment vertical="top"/>
    </xf>
    <xf numFmtId="0" fontId="67" fillId="0" borderId="0" xfId="273" applyFont="1" applyAlignment="1">
      <alignment horizontal="right" vertical="center"/>
    </xf>
    <xf numFmtId="0" fontId="10" fillId="0" borderId="0" xfId="273" applyFont="1" applyAlignment="1">
      <alignment horizontal="center" vertical="center"/>
    </xf>
    <xf numFmtId="0" fontId="58" fillId="0" borderId="0" xfId="273" applyFont="1" applyAlignment="1">
      <alignment horizontal="left" vertical="top" wrapText="1"/>
    </xf>
    <xf numFmtId="0" fontId="10" fillId="0" borderId="0" xfId="273" applyFont="1" applyAlignment="1">
      <alignment horizontal="left"/>
    </xf>
    <xf numFmtId="0" fontId="10" fillId="0" borderId="0" xfId="273" applyFont="1" applyAlignment="1">
      <alignment horizontal="left" vertical="top" wrapText="1"/>
    </xf>
    <xf numFmtId="169" fontId="10" fillId="7" borderId="5" xfId="273" applyNumberFormat="1" applyFont="1" applyFill="1" applyBorder="1" applyAlignment="1" applyProtection="1">
      <alignment horizontal="right"/>
      <protection locked="0"/>
    </xf>
    <xf numFmtId="49" fontId="14" fillId="0" borderId="0" xfId="0" applyNumberFormat="1" applyFont="1" applyAlignment="1">
      <alignment horizontal="left" vertical="top" wrapText="1"/>
    </xf>
    <xf numFmtId="4" fontId="14" fillId="0" borderId="0" xfId="0" applyNumberFormat="1" applyFont="1" applyAlignment="1">
      <alignment horizontal="left" vertical="top" wrapText="1"/>
    </xf>
    <xf numFmtId="1" fontId="10" fillId="7" borderId="5" xfId="273" applyNumberFormat="1" applyFont="1" applyFill="1" applyBorder="1" applyAlignment="1" applyProtection="1">
      <alignment vertical="center"/>
      <protection locked="0"/>
    </xf>
    <xf numFmtId="3" fontId="10" fillId="0" borderId="0" xfId="273" applyNumberFormat="1" applyFont="1" applyAlignment="1">
      <alignment horizontal="center"/>
    </xf>
    <xf numFmtId="3" fontId="10" fillId="0" borderId="5" xfId="273" applyNumberFormat="1" applyFont="1" applyBorder="1" applyAlignment="1">
      <alignment horizontal="center"/>
    </xf>
    <xf numFmtId="0" fontId="43" fillId="0" borderId="0" xfId="0" applyFont="1"/>
    <xf numFmtId="0" fontId="23" fillId="0" borderId="0" xfId="0" applyFont="1"/>
    <xf numFmtId="0" fontId="42" fillId="0" borderId="0" xfId="0" applyFont="1"/>
    <xf numFmtId="0" fontId="38" fillId="0" borderId="0" xfId="273" applyFont="1"/>
    <xf numFmtId="0" fontId="26" fillId="0" borderId="0" xfId="0" applyFont="1"/>
    <xf numFmtId="0" fontId="47" fillId="0" borderId="0" xfId="0" applyFont="1"/>
    <xf numFmtId="0" fontId="49" fillId="0" borderId="12" xfId="0" applyFont="1" applyBorder="1" applyAlignment="1">
      <alignment horizontal="center" wrapText="1"/>
    </xf>
    <xf numFmtId="0" fontId="111" fillId="0" borderId="0" xfId="0" applyFont="1" applyAlignment="1">
      <alignment horizontal="left" vertical="top"/>
    </xf>
    <xf numFmtId="169" fontId="28" fillId="47" borderId="12" xfId="0" applyNumberFormat="1" applyFont="1" applyFill="1" applyBorder="1" applyAlignment="1">
      <alignment vertical="top" wrapText="1"/>
    </xf>
    <xf numFmtId="6" fontId="28" fillId="47" borderId="12" xfId="0" applyNumberFormat="1" applyFont="1" applyFill="1" applyBorder="1" applyAlignment="1">
      <alignment vertical="top" wrapText="1"/>
    </xf>
    <xf numFmtId="0" fontId="6" fillId="0" borderId="0" xfId="245" applyAlignment="1" applyProtection="1"/>
    <xf numFmtId="173" fontId="5" fillId="0" borderId="7" xfId="546" applyNumberFormat="1" applyBorder="1"/>
    <xf numFmtId="0" fontId="14" fillId="0" borderId="7" xfId="0" applyFont="1" applyBorder="1"/>
    <xf numFmtId="0" fontId="12" fillId="0" borderId="7" xfId="0" applyFont="1" applyBorder="1"/>
    <xf numFmtId="0" fontId="15" fillId="0" borderId="7" xfId="0" applyFont="1" applyBorder="1" applyAlignment="1">
      <alignment horizontal="center"/>
    </xf>
    <xf numFmtId="0" fontId="12" fillId="0" borderId="7" xfId="0" applyFont="1" applyBorder="1" applyAlignment="1">
      <alignment vertical="top"/>
    </xf>
    <xf numFmtId="2" fontId="13" fillId="0" borderId="7" xfId="0" applyNumberFormat="1" applyFont="1" applyBorder="1" applyAlignment="1">
      <alignment horizontal="left"/>
    </xf>
    <xf numFmtId="0" fontId="13" fillId="0" borderId="7" xfId="0" applyFont="1" applyBorder="1" applyAlignment="1">
      <alignment horizontal="right"/>
    </xf>
    <xf numFmtId="2" fontId="13" fillId="0" borderId="7" xfId="0" applyNumberFormat="1" applyFont="1" applyBorder="1" applyAlignment="1">
      <alignment horizontal="right"/>
    </xf>
    <xf numFmtId="173" fontId="12" fillId="0" borderId="7" xfId="546" applyNumberFormat="1" applyFont="1" applyBorder="1"/>
    <xf numFmtId="0" fontId="5" fillId="0" borderId="7" xfId="546" applyBorder="1" applyAlignment="1">
      <alignment vertical="top"/>
    </xf>
    <xf numFmtId="1" fontId="13" fillId="0" borderId="7" xfId="0" applyNumberFormat="1" applyFont="1" applyBorder="1"/>
    <xf numFmtId="164" fontId="22" fillId="0" borderId="0" xfId="0" applyNumberFormat="1" applyFont="1" applyAlignment="1">
      <alignment vertical="top" wrapText="1"/>
    </xf>
    <xf numFmtId="0" fontId="22" fillId="46" borderId="7" xfId="0" applyFont="1" applyFill="1" applyBorder="1"/>
    <xf numFmtId="0" fontId="22" fillId="46" borderId="0" xfId="0" applyFont="1" applyFill="1"/>
    <xf numFmtId="0" fontId="13" fillId="0" borderId="0" xfId="0" applyFont="1" applyAlignment="1">
      <alignment vertical="center" wrapText="1" shrinkToFit="1"/>
    </xf>
    <xf numFmtId="0" fontId="10" fillId="0" borderId="0" xfId="273" applyFont="1" applyAlignment="1">
      <alignment horizontal="right" vertical="top" wrapText="1"/>
    </xf>
    <xf numFmtId="0" fontId="60" fillId="0" borderId="0" xfId="273" applyFont="1" applyAlignment="1">
      <alignment horizontal="left" vertical="top" wrapText="1"/>
    </xf>
    <xf numFmtId="0" fontId="58" fillId="0" borderId="0" xfId="273" applyFont="1" applyAlignment="1">
      <alignment horizontal="left"/>
    </xf>
    <xf numFmtId="0" fontId="10" fillId="0" borderId="5" xfId="273" applyFont="1" applyBorder="1" applyAlignment="1">
      <alignment horizontal="left"/>
    </xf>
    <xf numFmtId="1" fontId="13" fillId="0" borderId="7" xfId="0" applyNumberFormat="1" applyFont="1" applyBorder="1" applyAlignment="1">
      <alignment horizontal="center" vertical="top"/>
    </xf>
    <xf numFmtId="0" fontId="13" fillId="0" borderId="9" xfId="0" applyFont="1" applyBorder="1"/>
    <xf numFmtId="0" fontId="22" fillId="0" borderId="4" xfId="0" applyFont="1" applyBorder="1"/>
    <xf numFmtId="0" fontId="22" fillId="0" borderId="1" xfId="0" applyFont="1" applyBorder="1"/>
    <xf numFmtId="0" fontId="55" fillId="0" borderId="2" xfId="0" applyFont="1" applyBorder="1" applyAlignment="1">
      <alignment horizontal="left" wrapText="1"/>
    </xf>
    <xf numFmtId="0" fontId="55" fillId="0" borderId="2" xfId="0" applyFont="1" applyBorder="1" applyAlignment="1">
      <alignment horizontal="left"/>
    </xf>
    <xf numFmtId="0" fontId="55" fillId="0" borderId="11" xfId="0" applyFont="1" applyBorder="1" applyAlignment="1">
      <alignment horizontal="left" wrapText="1"/>
    </xf>
    <xf numFmtId="0" fontId="22" fillId="0" borderId="9" xfId="0" applyFont="1" applyBorder="1"/>
    <xf numFmtId="0" fontId="13" fillId="0" borderId="46" xfId="0" applyFont="1" applyBorder="1"/>
    <xf numFmtId="0" fontId="13" fillId="0" borderId="47" xfId="0" applyFont="1" applyBorder="1"/>
    <xf numFmtId="1" fontId="13" fillId="0" borderId="47" xfId="0" quotePrefix="1" applyNumberFormat="1" applyFont="1" applyBorder="1" applyAlignment="1">
      <alignment horizontal="center" vertical="top"/>
    </xf>
    <xf numFmtId="0" fontId="14"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3" fillId="0" borderId="53" xfId="0" quotePrefix="1" applyNumberFormat="1" applyFont="1" applyBorder="1" applyAlignment="1">
      <alignment horizontal="center" vertical="top"/>
    </xf>
    <xf numFmtId="0" fontId="13" fillId="0" borderId="53" xfId="0" applyFont="1" applyBorder="1" applyAlignment="1">
      <alignment vertical="top" wrapText="1"/>
    </xf>
    <xf numFmtId="0" fontId="5" fillId="0" borderId="49" xfId="546" applyBorder="1"/>
    <xf numFmtId="0" fontId="13" fillId="0" borderId="50" xfId="0" applyFont="1" applyBorder="1"/>
    <xf numFmtId="0" fontId="22" fillId="0" borderId="53" xfId="0" applyFont="1" applyBorder="1" applyAlignment="1">
      <alignment vertical="center"/>
    </xf>
    <xf numFmtId="0" fontId="13" fillId="0" borderId="49" xfId="0" applyFont="1" applyBorder="1"/>
    <xf numFmtId="0" fontId="5" fillId="0" borderId="52" xfId="546" applyBorder="1"/>
    <xf numFmtId="0" fontId="5" fillId="0" borderId="53" xfId="546" applyBorder="1"/>
    <xf numFmtId="1" fontId="13" fillId="0" borderId="53" xfId="0" applyNumberFormat="1" applyFont="1" applyBorder="1" applyAlignment="1">
      <alignment horizontal="center" vertical="top"/>
    </xf>
    <xf numFmtId="0" fontId="13" fillId="0" borderId="53" xfId="0" applyFont="1" applyBorder="1" applyAlignment="1">
      <alignment vertical="top"/>
    </xf>
    <xf numFmtId="0" fontId="14" fillId="0" borderId="53" xfId="0" applyFont="1" applyBorder="1"/>
    <xf numFmtId="0" fontId="12" fillId="0" borderId="53" xfId="0" applyFont="1" applyBorder="1"/>
    <xf numFmtId="0" fontId="13" fillId="0" borderId="53" xfId="0" applyFont="1" applyBorder="1"/>
    <xf numFmtId="0" fontId="13" fillId="0" borderId="54" xfId="0" applyFont="1" applyBorder="1"/>
    <xf numFmtId="0" fontId="13" fillId="0" borderId="52" xfId="0" applyFont="1" applyBorder="1"/>
    <xf numFmtId="0" fontId="5" fillId="0" borderId="46" xfId="546" applyBorder="1"/>
    <xf numFmtId="0" fontId="5" fillId="0" borderId="47" xfId="546" applyBorder="1"/>
    <xf numFmtId="0" fontId="5" fillId="0" borderId="48" xfId="546" applyBorder="1"/>
    <xf numFmtId="0" fontId="22" fillId="0" borderId="53" xfId="0" applyFont="1" applyBorder="1" applyAlignment="1">
      <alignment vertical="top"/>
    </xf>
    <xf numFmtId="0" fontId="13" fillId="0" borderId="48" xfId="0" applyFont="1" applyBorder="1"/>
    <xf numFmtId="0" fontId="14" fillId="0" borderId="49" xfId="546" applyFont="1" applyBorder="1"/>
    <xf numFmtId="0" fontId="0" fillId="0" borderId="49" xfId="0" applyBorder="1" applyAlignment="1">
      <alignment horizontal="center"/>
    </xf>
    <xf numFmtId="0" fontId="14" fillId="0" borderId="52" xfId="546" applyFont="1" applyBorder="1"/>
    <xf numFmtId="0" fontId="14" fillId="0" borderId="53" xfId="546" applyFont="1" applyBorder="1"/>
    <xf numFmtId="0" fontId="13" fillId="0" borderId="49" xfId="0" applyFont="1" applyBorder="1" applyAlignment="1">
      <alignment horizontal="left" vertical="top"/>
    </xf>
    <xf numFmtId="0" fontId="13" fillId="0" borderId="52" xfId="0" applyFont="1" applyBorder="1" applyAlignment="1">
      <alignment horizontal="left" vertical="top"/>
    </xf>
    <xf numFmtId="0" fontId="13" fillId="0" borderId="53" xfId="0" applyFont="1" applyBorder="1" applyAlignment="1">
      <alignment horizontal="center" vertical="top"/>
    </xf>
    <xf numFmtId="0" fontId="0" fillId="0" borderId="53" xfId="0" applyBorder="1"/>
    <xf numFmtId="0" fontId="13" fillId="0" borderId="53" xfId="0" applyFont="1" applyBorder="1" applyAlignment="1">
      <alignment horizontal="left" vertical="top"/>
    </xf>
    <xf numFmtId="0" fontId="12" fillId="0" borderId="53" xfId="0" applyFont="1" applyBorder="1" applyAlignment="1">
      <alignment vertical="top"/>
    </xf>
    <xf numFmtId="0" fontId="12" fillId="0" borderId="53" xfId="0" applyFont="1" applyBorder="1" applyAlignment="1">
      <alignment horizontal="left" vertical="top"/>
    </xf>
    <xf numFmtId="0" fontId="12" fillId="0" borderId="47" xfId="0" applyFont="1" applyBorder="1" applyAlignment="1">
      <alignment horizontal="left" vertical="top"/>
    </xf>
    <xf numFmtId="0" fontId="13" fillId="0" borderId="47" xfId="0" applyFont="1" applyBorder="1" applyAlignment="1">
      <alignment horizontal="left" vertical="top"/>
    </xf>
    <xf numFmtId="0" fontId="12" fillId="0" borderId="49" xfId="0" applyFont="1" applyBorder="1" applyAlignment="1">
      <alignment horizontal="left" vertical="top"/>
    </xf>
    <xf numFmtId="0" fontId="76" fillId="0" borderId="0" xfId="0" applyFont="1"/>
    <xf numFmtId="0" fontId="22" fillId="0" borderId="49" xfId="0" applyFont="1" applyBorder="1"/>
    <xf numFmtId="0" fontId="0" fillId="0" borderId="49" xfId="0" applyBorder="1"/>
    <xf numFmtId="1" fontId="12" fillId="0" borderId="53" xfId="0" applyNumberFormat="1" applyFont="1" applyBorder="1" applyAlignment="1">
      <alignment vertical="top"/>
    </xf>
    <xf numFmtId="0" fontId="12" fillId="0" borderId="46" xfId="0" applyFont="1" applyBorder="1" applyAlignment="1">
      <alignment horizontal="left" vertical="top"/>
    </xf>
    <xf numFmtId="0" fontId="28" fillId="0" borderId="47" xfId="0" applyFont="1" applyBorder="1" applyAlignment="1">
      <alignment horizontal="left" vertical="top"/>
    </xf>
    <xf numFmtId="0" fontId="14" fillId="0" borderId="47" xfId="0" quotePrefix="1" applyFont="1" applyBorder="1" applyAlignment="1">
      <alignment horizontal="center" vertical="top"/>
    </xf>
    <xf numFmtId="0" fontId="12" fillId="0" borderId="47" xfId="0" applyFont="1" applyBorder="1"/>
    <xf numFmtId="0" fontId="12" fillId="0" borderId="47" xfId="0" applyFont="1" applyBorder="1" applyAlignment="1">
      <alignment horizontal="center"/>
    </xf>
    <xf numFmtId="0" fontId="12" fillId="0" borderId="47" xfId="0" applyFont="1" applyBorder="1" applyAlignment="1">
      <alignment vertical="top"/>
    </xf>
    <xf numFmtId="0" fontId="12" fillId="0" borderId="49" xfId="0" applyFont="1" applyBorder="1"/>
    <xf numFmtId="0" fontId="14" fillId="0" borderId="52" xfId="0" applyFont="1" applyBorder="1"/>
    <xf numFmtId="0" fontId="5" fillId="0" borderId="50" xfId="546" applyBorder="1"/>
    <xf numFmtId="0" fontId="5" fillId="0" borderId="47" xfId="0" quotePrefix="1" applyFont="1" applyBorder="1" applyAlignment="1">
      <alignment horizontal="center" vertical="top"/>
    </xf>
    <xf numFmtId="0" fontId="24" fillId="0" borderId="46" xfId="0" applyFont="1" applyBorder="1"/>
    <xf numFmtId="0" fontId="13" fillId="0" borderId="47" xfId="0" applyFont="1" applyBorder="1" applyAlignment="1">
      <alignment horizontal="center" vertical="top"/>
    </xf>
    <xf numFmtId="0" fontId="13" fillId="0" borderId="47" xfId="0" applyFont="1" applyBorder="1" applyAlignment="1">
      <alignment vertical="top" wrapText="1"/>
    </xf>
    <xf numFmtId="0" fontId="13" fillId="0" borderId="47" xfId="0" applyFont="1" applyBorder="1" applyAlignment="1">
      <alignment horizontal="left" vertical="top" wrapText="1"/>
    </xf>
    <xf numFmtId="0" fontId="5" fillId="0" borderId="0" xfId="273" applyFont="1"/>
    <xf numFmtId="0" fontId="10" fillId="0" borderId="0" xfId="273" applyFont="1" applyAlignment="1">
      <alignment horizontal="left" vertical="top"/>
    </xf>
    <xf numFmtId="0" fontId="10" fillId="0" borderId="0" xfId="273" applyFont="1" applyAlignment="1">
      <alignment vertical="top"/>
    </xf>
    <xf numFmtId="0" fontId="10" fillId="0" borderId="57" xfId="273" applyFont="1" applyBorder="1"/>
    <xf numFmtId="0" fontId="10" fillId="0" borderId="50" xfId="273" applyFont="1" applyBorder="1"/>
    <xf numFmtId="0" fontId="58" fillId="0" borderId="50" xfId="273" applyFont="1" applyBorder="1" applyAlignment="1">
      <alignment vertical="center" wrapText="1"/>
    </xf>
    <xf numFmtId="0" fontId="10" fillId="0" borderId="58" xfId="273" applyFont="1" applyBorder="1"/>
    <xf numFmtId="0" fontId="28" fillId="0" borderId="47" xfId="273" applyFont="1" applyBorder="1" applyAlignment="1">
      <alignment horizontal="center"/>
    </xf>
    <xf numFmtId="0" fontId="10" fillId="0" borderId="53" xfId="273" applyFont="1" applyBorder="1" applyAlignment="1">
      <alignment horizontal="center"/>
    </xf>
    <xf numFmtId="0" fontId="10" fillId="0" borderId="54" xfId="273" applyFont="1" applyBorder="1" applyAlignment="1">
      <alignment horizontal="center"/>
    </xf>
    <xf numFmtId="0" fontId="10" fillId="0" borderId="47" xfId="273" applyFont="1" applyBorder="1" applyAlignment="1">
      <alignment horizontal="center"/>
    </xf>
    <xf numFmtId="0" fontId="10" fillId="0" borderId="59" xfId="273" applyFont="1" applyBorder="1" applyAlignment="1">
      <alignment horizontal="center"/>
    </xf>
    <xf numFmtId="0" fontId="5" fillId="0" borderId="47" xfId="273" applyFont="1" applyBorder="1"/>
    <xf numFmtId="0" fontId="5" fillId="0" borderId="48" xfId="273" applyFont="1" applyBorder="1"/>
    <xf numFmtId="0" fontId="5" fillId="0" borderId="53" xfId="273" applyFont="1" applyBorder="1"/>
    <xf numFmtId="0" fontId="5" fillId="0" borderId="54" xfId="273" applyFont="1" applyBorder="1"/>
    <xf numFmtId="0" fontId="5" fillId="0" borderId="59" xfId="273" applyFont="1" applyBorder="1"/>
    <xf numFmtId="0" fontId="5"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5" fillId="0" borderId="0" xfId="0" applyFont="1" applyAlignment="1">
      <alignment vertical="top" wrapText="1"/>
    </xf>
    <xf numFmtId="0" fontId="0" fillId="0" borderId="6" xfId="0" applyBorder="1"/>
    <xf numFmtId="0" fontId="12" fillId="0" borderId="0" xfId="0" applyFont="1" applyAlignment="1">
      <alignment horizontal="center" wrapText="1"/>
    </xf>
    <xf numFmtId="166" fontId="20" fillId="0" borderId="0" xfId="0" applyNumberFormat="1" applyFont="1" applyAlignment="1">
      <alignment horizontal="center" vertical="center"/>
    </xf>
    <xf numFmtId="0" fontId="119" fillId="0" borderId="0" xfId="0" applyFont="1" applyAlignment="1">
      <alignment horizontal="left" vertical="top"/>
    </xf>
    <xf numFmtId="0" fontId="12" fillId="0" borderId="50" xfId="0" applyFont="1" applyBorder="1" applyAlignment="1">
      <alignment horizontal="center"/>
    </xf>
    <xf numFmtId="0" fontId="12" fillId="0" borderId="53" xfId="0" applyFont="1" applyBorder="1" applyAlignment="1">
      <alignment horizontal="center"/>
    </xf>
    <xf numFmtId="0" fontId="12" fillId="0" borderId="54" xfId="0" applyFont="1" applyBorder="1" applyAlignment="1">
      <alignment horizontal="center"/>
    </xf>
    <xf numFmtId="0" fontId="12" fillId="0" borderId="50" xfId="0" applyFont="1" applyBorder="1" applyAlignment="1">
      <alignment horizontal="center" vertical="top"/>
    </xf>
    <xf numFmtId="0" fontId="12" fillId="0" borderId="48" xfId="0" applyFont="1" applyBorder="1" applyAlignment="1">
      <alignment horizontal="center"/>
    </xf>
    <xf numFmtId="0" fontId="55" fillId="0" borderId="0" xfId="0" applyFont="1" applyAlignment="1">
      <alignment vertical="top" wrapText="1"/>
    </xf>
    <xf numFmtId="0" fontId="14" fillId="0" borderId="47" xfId="0" applyFont="1" applyBorder="1"/>
    <xf numFmtId="0" fontId="10" fillId="0" borderId="0" xfId="273" applyFont="1" applyAlignment="1">
      <alignment wrapText="1"/>
    </xf>
    <xf numFmtId="0" fontId="59"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5" fillId="0" borderId="61" xfId="273" applyFont="1" applyBorder="1"/>
    <xf numFmtId="4" fontId="14" fillId="0" borderId="0" xfId="0" applyNumberFormat="1" applyFont="1" applyAlignment="1">
      <alignment vertical="top" wrapText="1"/>
    </xf>
    <xf numFmtId="0" fontId="12" fillId="0" borderId="10" xfId="0" applyFont="1" applyBorder="1" applyAlignment="1">
      <alignment horizontal="right"/>
    </xf>
    <xf numFmtId="0" fontId="28" fillId="0" borderId="0" xfId="0" applyFont="1" applyAlignment="1">
      <alignment vertical="center" wrapText="1"/>
    </xf>
    <xf numFmtId="0" fontId="28" fillId="0" borderId="0" xfId="0" applyFont="1" applyAlignment="1">
      <alignment vertical="center"/>
    </xf>
    <xf numFmtId="0" fontId="28" fillId="0" borderId="0" xfId="0" applyFont="1" applyAlignment="1">
      <alignment horizontal="left"/>
    </xf>
    <xf numFmtId="4" fontId="5" fillId="0" borderId="0" xfId="0" applyNumberFormat="1" applyFont="1" applyAlignment="1">
      <alignment horizontal="center"/>
    </xf>
    <xf numFmtId="4" fontId="5"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3" fillId="0" borderId="53" xfId="0" applyFont="1" applyBorder="1" applyAlignment="1">
      <alignment horizontal="left" vertical="top" wrapText="1"/>
    </xf>
    <xf numFmtId="0" fontId="5" fillId="0" borderId="0" xfId="0" applyFont="1" applyAlignment="1">
      <alignment wrapText="1"/>
    </xf>
    <xf numFmtId="0" fontId="0" fillId="0" borderId="5" xfId="0" applyBorder="1" applyAlignment="1">
      <alignment horizontal="left" wrapText="1"/>
    </xf>
    <xf numFmtId="10" fontId="5" fillId="0" borderId="0" xfId="0" applyNumberFormat="1" applyFont="1" applyAlignment="1">
      <alignment horizontal="center"/>
    </xf>
    <xf numFmtId="169" fontId="10" fillId="51" borderId="0" xfId="0" applyNumberFormat="1" applyFont="1" applyFill="1"/>
    <xf numFmtId="2" fontId="14" fillId="0" borderId="12" xfId="273" applyNumberFormat="1" applyBorder="1" applyAlignment="1">
      <alignment horizontal="center"/>
    </xf>
    <xf numFmtId="3" fontId="5" fillId="0" borderId="0" xfId="273" applyNumberFormat="1" applyFont="1"/>
    <xf numFmtId="169" fontId="5" fillId="0" borderId="0" xfId="273" applyNumberFormat="1" applyFont="1"/>
    <xf numFmtId="3" fontId="5" fillId="0" borderId="5" xfId="273" applyNumberFormat="1" applyFont="1" applyBorder="1"/>
    <xf numFmtId="169" fontId="5" fillId="0" borderId="0" xfId="0" applyNumberFormat="1" applyFont="1"/>
    <xf numFmtId="169" fontId="14" fillId="0" borderId="12" xfId="273" applyNumberFormat="1" applyBorder="1" applyAlignment="1">
      <alignment horizontal="center"/>
    </xf>
    <xf numFmtId="10" fontId="14" fillId="0" borderId="12" xfId="273" applyNumberFormat="1" applyBorder="1" applyAlignment="1">
      <alignment horizontal="center"/>
    </xf>
    <xf numFmtId="3" fontId="5" fillId="0" borderId="0" xfId="0" applyNumberFormat="1" applyFont="1"/>
    <xf numFmtId="3" fontId="5" fillId="0" borderId="5" xfId="0" applyNumberFormat="1" applyFont="1" applyBorder="1"/>
    <xf numFmtId="164" fontId="5" fillId="0" borderId="0" xfId="574" applyNumberFormat="1" applyAlignment="1">
      <alignment vertical="top" wrapText="1"/>
    </xf>
    <xf numFmtId="0" fontId="12" fillId="0" borderId="13" xfId="0" applyFont="1" applyBorder="1"/>
    <xf numFmtId="0" fontId="13" fillId="0" borderId="13" xfId="0" applyFont="1" applyBorder="1"/>
    <xf numFmtId="0" fontId="13" fillId="0" borderId="74" xfId="0" applyFont="1" applyBorder="1"/>
    <xf numFmtId="0" fontId="12" fillId="0" borderId="54" xfId="0" applyFont="1" applyBorder="1" applyAlignment="1">
      <alignment vertical="top"/>
    </xf>
    <xf numFmtId="0" fontId="0" fillId="0" borderId="52" xfId="0" applyBorder="1"/>
    <xf numFmtId="169" fontId="5" fillId="0" borderId="0" xfId="0" applyNumberFormat="1" applyFont="1" applyAlignment="1">
      <alignment horizontal="right"/>
    </xf>
    <xf numFmtId="0" fontId="5" fillId="0" borderId="9" xfId="0" applyFont="1" applyBorder="1" applyAlignment="1">
      <alignment horizontal="left"/>
    </xf>
    <xf numFmtId="0" fontId="5" fillId="0" borderId="3" xfId="0" applyFont="1" applyBorder="1" applyAlignment="1">
      <alignment horizontal="center"/>
    </xf>
    <xf numFmtId="0" fontId="5" fillId="0" borderId="4" xfId="0" applyFont="1" applyBorder="1" applyAlignment="1">
      <alignment horizontal="center"/>
    </xf>
    <xf numFmtId="0" fontId="5" fillId="0" borderId="8" xfId="0" applyFont="1" applyBorder="1" applyAlignment="1">
      <alignment horizontal="center"/>
    </xf>
    <xf numFmtId="0" fontId="0" fillId="0" borderId="13" xfId="0" applyBorder="1" applyAlignment="1">
      <alignment horizontal="center"/>
    </xf>
    <xf numFmtId="0" fontId="5" fillId="0" borderId="9" xfId="0" applyFont="1" applyBorder="1"/>
    <xf numFmtId="0" fontId="109" fillId="0" borderId="0" xfId="0" applyFont="1"/>
    <xf numFmtId="0" fontId="5" fillId="0" borderId="12" xfId="546" applyBorder="1"/>
    <xf numFmtId="0" fontId="5" fillId="0" borderId="8" xfId="546" applyBorder="1"/>
    <xf numFmtId="0" fontId="12" fillId="0" borderId="8" xfId="0" applyFont="1" applyBorder="1"/>
    <xf numFmtId="0" fontId="12" fillId="0" borderId="3" xfId="574" applyFont="1" applyBorder="1"/>
    <xf numFmtId="0" fontId="12" fillId="0" borderId="4" xfId="574" applyFont="1" applyBorder="1"/>
    <xf numFmtId="0" fontId="12" fillId="0" borderId="8" xfId="574" applyFont="1" applyBorder="1"/>
    <xf numFmtId="0" fontId="12" fillId="0" borderId="0" xfId="574" applyFont="1"/>
    <xf numFmtId="0" fontId="5" fillId="0" borderId="0" xfId="574"/>
    <xf numFmtId="0" fontId="13" fillId="0" borderId="0" xfId="574" applyFont="1" applyAlignment="1">
      <alignment horizontal="center"/>
    </xf>
    <xf numFmtId="0" fontId="13" fillId="0" borderId="5" xfId="574" applyFont="1" applyBorder="1" applyAlignment="1">
      <alignment horizontal="right"/>
    </xf>
    <xf numFmtId="0" fontId="13" fillId="0" borderId="5" xfId="574" applyFont="1" applyBorder="1" applyAlignment="1">
      <alignment horizontal="left"/>
    </xf>
    <xf numFmtId="1" fontId="5" fillId="0" borderId="18" xfId="574" applyNumberFormat="1" applyBorder="1"/>
    <xf numFmtId="1" fontId="12" fillId="0" borderId="15" xfId="574" applyNumberFormat="1" applyFont="1" applyBorder="1"/>
    <xf numFmtId="165" fontId="12" fillId="0" borderId="12" xfId="574" applyNumberFormat="1" applyFont="1" applyBorder="1"/>
    <xf numFmtId="1" fontId="5" fillId="0" borderId="12" xfId="574" applyNumberFormat="1" applyBorder="1"/>
    <xf numFmtId="165" fontId="5" fillId="0" borderId="12" xfId="574" applyNumberFormat="1" applyBorder="1"/>
    <xf numFmtId="171" fontId="5" fillId="0" borderId="12" xfId="574" applyNumberFormat="1" applyBorder="1"/>
    <xf numFmtId="0" fontId="24" fillId="0" borderId="11" xfId="546" applyFont="1" applyBorder="1"/>
    <xf numFmtId="0" fontId="5" fillId="0" borderId="13" xfId="546" quotePrefix="1" applyBorder="1"/>
    <xf numFmtId="0" fontId="12" fillId="0" borderId="13" xfId="546" applyFont="1" applyBorder="1" applyAlignment="1">
      <alignment horizontal="center" vertical="top"/>
    </xf>
    <xf numFmtId="0" fontId="13" fillId="0" borderId="7" xfId="546" applyFont="1" applyBorder="1" applyAlignment="1">
      <alignment horizontal="left" vertical="top" wrapText="1"/>
    </xf>
    <xf numFmtId="0" fontId="13" fillId="0" borderId="13" xfId="546" applyFont="1" applyBorder="1" applyAlignment="1">
      <alignment horizontal="center" vertical="top" wrapText="1"/>
    </xf>
    <xf numFmtId="0" fontId="13" fillId="0" borderId="1" xfId="546" applyFont="1" applyBorder="1" applyAlignment="1">
      <alignment horizontal="left" vertical="top" wrapText="1"/>
    </xf>
    <xf numFmtId="0" fontId="13" fillId="0" borderId="2" xfId="546" applyFont="1" applyBorder="1" applyAlignment="1">
      <alignment horizontal="center" vertical="top" wrapText="1"/>
    </xf>
    <xf numFmtId="0" fontId="13" fillId="0" borderId="0" xfId="546" applyFont="1" applyAlignment="1">
      <alignment horizontal="center" vertical="top" wrapText="1"/>
    </xf>
    <xf numFmtId="0" fontId="13" fillId="0" borderId="9" xfId="546" applyFont="1" applyBorder="1" applyAlignment="1">
      <alignment horizontal="left" vertical="top" wrapText="1"/>
    </xf>
    <xf numFmtId="0" fontId="13" fillId="0" borderId="5" xfId="546" applyFont="1" applyBorder="1" applyAlignment="1">
      <alignment horizontal="center" vertical="top" wrapText="1"/>
    </xf>
    <xf numFmtId="0" fontId="22" fillId="0" borderId="9" xfId="546" applyFont="1" applyBorder="1" applyAlignment="1">
      <alignment horizontal="left" vertical="top" wrapText="1"/>
    </xf>
    <xf numFmtId="0" fontId="22" fillId="0" borderId="7" xfId="546" applyFont="1" applyBorder="1" applyAlignment="1">
      <alignment horizontal="left" vertical="top" wrapText="1"/>
    </xf>
    <xf numFmtId="0" fontId="22" fillId="0" borderId="0" xfId="546" applyFont="1" applyAlignment="1">
      <alignment horizontal="center" vertical="top" wrapText="1"/>
    </xf>
    <xf numFmtId="0" fontId="50" fillId="0" borderId="9" xfId="546" applyFont="1" applyBorder="1" applyAlignment="1">
      <alignment vertical="top"/>
    </xf>
    <xf numFmtId="0" fontId="32" fillId="0" borderId="7" xfId="546" applyFont="1" applyBorder="1" applyAlignment="1">
      <alignment vertical="center" wrapText="1"/>
    </xf>
    <xf numFmtId="0" fontId="32" fillId="0" borderId="0" xfId="546" applyFont="1" applyAlignment="1">
      <alignment vertical="center" wrapText="1"/>
    </xf>
    <xf numFmtId="0" fontId="32" fillId="0" borderId="13" xfId="546" applyFont="1" applyBorder="1" applyAlignment="1">
      <alignment vertical="center" wrapText="1"/>
    </xf>
    <xf numFmtId="0" fontId="32" fillId="0" borderId="9" xfId="546" applyFont="1" applyBorder="1" applyAlignment="1">
      <alignment vertical="center" wrapText="1"/>
    </xf>
    <xf numFmtId="0" fontId="32" fillId="0" borderId="5" xfId="546" applyFont="1" applyBorder="1" applyAlignment="1">
      <alignment vertical="center" wrapText="1"/>
    </xf>
    <xf numFmtId="0" fontId="32" fillId="0" borderId="10" xfId="546" applyFont="1" applyBorder="1" applyAlignment="1">
      <alignment vertical="center" wrapText="1"/>
    </xf>
    <xf numFmtId="0" fontId="12" fillId="0" borderId="11" xfId="546" applyFont="1" applyBorder="1" applyAlignment="1">
      <alignment horizontal="right"/>
    </xf>
    <xf numFmtId="0" fontId="22" fillId="0" borderId="4" xfId="546" applyFont="1" applyBorder="1" applyAlignment="1">
      <alignment horizontal="right" vertical="top" wrapText="1"/>
    </xf>
    <xf numFmtId="0" fontId="25" fillId="0" borderId="0" xfId="0" applyFont="1" applyAlignment="1">
      <alignment horizontal="left"/>
    </xf>
    <xf numFmtId="0" fontId="5" fillId="0" borderId="0" xfId="259" applyFont="1" applyAlignment="1">
      <alignment horizontal="center"/>
    </xf>
    <xf numFmtId="0" fontId="46" fillId="0" borderId="0" xfId="259" applyFont="1" applyAlignment="1">
      <alignment horizontal="center"/>
    </xf>
    <xf numFmtId="0" fontId="5" fillId="0" borderId="0" xfId="259" applyFont="1" applyAlignment="1">
      <alignment horizontal="left" vertical="top" wrapText="1"/>
    </xf>
    <xf numFmtId="0" fontId="42" fillId="2" borderId="12" xfId="574" applyFont="1" applyFill="1" applyBorder="1" applyAlignment="1">
      <alignment horizontal="left" vertical="top" wrapText="1"/>
    </xf>
    <xf numFmtId="0" fontId="28" fillId="0" borderId="12" xfId="259" applyFont="1" applyBorder="1" applyAlignment="1">
      <alignment horizontal="right" vertical="top" wrapText="1"/>
    </xf>
    <xf numFmtId="0" fontId="49" fillId="0" borderId="12" xfId="259" applyFont="1" applyBorder="1" applyAlignment="1">
      <alignment horizontal="right" vertical="top" wrapText="1"/>
    </xf>
    <xf numFmtId="0" fontId="28" fillId="0" borderId="12" xfId="259" applyFont="1" applyBorder="1" applyAlignment="1">
      <alignment horizontal="right" vertical="top"/>
    </xf>
    <xf numFmtId="0" fontId="12" fillId="0" borderId="12" xfId="574" applyFont="1" applyBorder="1" applyAlignment="1">
      <alignment horizontal="right" vertical="top" wrapText="1"/>
    </xf>
    <xf numFmtId="0" fontId="5" fillId="0" borderId="12" xfId="574" applyBorder="1" applyAlignment="1">
      <alignment horizontal="right" vertical="top" wrapText="1"/>
    </xf>
    <xf numFmtId="0" fontId="5" fillId="0" borderId="12" xfId="574" applyBorder="1" applyAlignment="1" applyProtection="1">
      <alignment horizontal="right" vertical="top" wrapText="1"/>
      <protection locked="0"/>
    </xf>
    <xf numFmtId="0" fontId="23" fillId="0" borderId="12" xfId="574" applyFont="1" applyBorder="1" applyAlignment="1">
      <alignment horizontal="right" vertical="top" wrapText="1"/>
    </xf>
    <xf numFmtId="0" fontId="28" fillId="0" borderId="12" xfId="574" applyFont="1" applyBorder="1" applyAlignment="1">
      <alignment horizontal="right" vertical="top"/>
    </xf>
    <xf numFmtId="0" fontId="5" fillId="7" borderId="12" xfId="574" applyFill="1" applyBorder="1" applyAlignment="1" applyProtection="1">
      <alignment horizontal="right" vertical="top" wrapText="1"/>
      <protection locked="0"/>
    </xf>
    <xf numFmtId="0" fontId="14" fillId="7" borderId="8" xfId="0" applyFont="1" applyFill="1" applyBorder="1" applyAlignment="1" applyProtection="1">
      <alignment vertical="top" wrapText="1"/>
      <protection locked="0"/>
    </xf>
    <xf numFmtId="169" fontId="14" fillId="0" borderId="12" xfId="0" applyNumberFormat="1" applyFont="1" applyBorder="1" applyAlignment="1" applyProtection="1">
      <alignment vertical="top" wrapText="1"/>
      <protection locked="0"/>
    </xf>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5" fillId="50" borderId="0" xfId="574" applyFill="1"/>
    <xf numFmtId="0" fontId="5"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5" fillId="0" borderId="0" xfId="273" applyFont="1" applyAlignment="1">
      <alignment vertical="top" wrapText="1"/>
    </xf>
    <xf numFmtId="0" fontId="12" fillId="0" borderId="0" xfId="0" applyFont="1" applyAlignment="1">
      <alignment vertical="center"/>
    </xf>
    <xf numFmtId="0" fontId="5" fillId="0" borderId="0" xfId="0" applyFont="1" applyAlignment="1">
      <alignment horizontal="right"/>
    </xf>
    <xf numFmtId="1" fontId="5" fillId="0" borderId="0" xfId="0" applyNumberFormat="1" applyFont="1" applyAlignment="1">
      <alignment horizontal="center"/>
    </xf>
    <xf numFmtId="169" fontId="5" fillId="0" borderId="0" xfId="0" applyNumberFormat="1" applyFont="1" applyAlignment="1">
      <alignment horizontal="center"/>
    </xf>
    <xf numFmtId="0" fontId="5" fillId="0" borderId="0" xfId="273" applyFont="1" applyAlignment="1">
      <alignment horizontal="left"/>
    </xf>
    <xf numFmtId="0" fontId="5" fillId="0" borderId="0" xfId="0" applyFont="1" applyAlignment="1">
      <alignment vertical="top"/>
    </xf>
    <xf numFmtId="0" fontId="12" fillId="0" borderId="0" xfId="766" applyFont="1" applyAlignment="1">
      <alignment vertical="top"/>
    </xf>
    <xf numFmtId="0" fontId="12" fillId="0" borderId="0" xfId="245" applyFont="1" applyAlignment="1"/>
    <xf numFmtId="0" fontId="5" fillId="0" borderId="0" xfId="766" applyAlignment="1">
      <alignment vertical="top"/>
    </xf>
    <xf numFmtId="0" fontId="5" fillId="0" borderId="0" xfId="766" applyAlignment="1">
      <alignment vertical="top" wrapText="1"/>
    </xf>
    <xf numFmtId="0" fontId="5" fillId="0" borderId="0" xfId="766"/>
    <xf numFmtId="0" fontId="12" fillId="0" borderId="0" xfId="766" applyFont="1"/>
    <xf numFmtId="0" fontId="14" fillId="0" borderId="0" xfId="259" applyAlignment="1">
      <alignment vertical="top" wrapText="1"/>
    </xf>
    <xf numFmtId="0" fontId="115" fillId="0" borderId="0" xfId="0" applyFont="1"/>
    <xf numFmtId="0" fontId="10" fillId="51" borderId="0" xfId="273" applyFont="1" applyFill="1"/>
    <xf numFmtId="3" fontId="71"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4" fillId="0" borderId="0" xfId="273" applyAlignment="1">
      <alignment horizontal="right"/>
    </xf>
    <xf numFmtId="0" fontId="14" fillId="51" borderId="3" xfId="259" applyFill="1" applyBorder="1"/>
    <xf numFmtId="3" fontId="10" fillId="51" borderId="12" xfId="0" applyNumberFormat="1" applyFont="1" applyFill="1" applyBorder="1" applyProtection="1">
      <protection locked="0"/>
    </xf>
    <xf numFmtId="3" fontId="10" fillId="0" borderId="12" xfId="0" applyNumberFormat="1" applyFont="1" applyBorder="1" applyAlignment="1" applyProtection="1">
      <alignment horizontal="center"/>
      <protection locked="0"/>
    </xf>
    <xf numFmtId="3" fontId="10" fillId="0" borderId="12" xfId="0" applyNumberFormat="1" applyFont="1" applyBorder="1" applyAlignment="1">
      <alignment horizontal="center"/>
    </xf>
    <xf numFmtId="0" fontId="58" fillId="0" borderId="0" xfId="0" applyFont="1" applyAlignment="1">
      <alignment horizontal="center" vertical="center"/>
    </xf>
    <xf numFmtId="0" fontId="140" fillId="0" borderId="0" xfId="0" applyFont="1" applyAlignment="1">
      <alignment horizontal="center" vertical="center"/>
    </xf>
    <xf numFmtId="0" fontId="14" fillId="51" borderId="5" xfId="0" applyFont="1" applyFill="1" applyBorder="1" applyAlignment="1" applyProtection="1">
      <alignment vertical="top" wrapText="1"/>
      <protection locked="0"/>
    </xf>
    <xf numFmtId="3" fontId="37" fillId="4" borderId="0" xfId="546" applyNumberFormat="1" applyFont="1" applyFill="1" applyAlignment="1">
      <alignment vertical="center" wrapText="1"/>
    </xf>
    <xf numFmtId="169" fontId="14" fillId="0" borderId="3" xfId="273" applyNumberFormat="1" applyBorder="1" applyAlignment="1">
      <alignment vertical="top"/>
    </xf>
    <xf numFmtId="169" fontId="14" fillId="0" borderId="4" xfId="273" applyNumberFormat="1" applyBorder="1" applyAlignment="1">
      <alignment vertical="top"/>
    </xf>
    <xf numFmtId="2" fontId="10" fillId="0" borderId="31" xfId="273" applyNumberFormat="1" applyFont="1" applyBorder="1" applyAlignment="1">
      <alignment vertical="center"/>
    </xf>
    <xf numFmtId="0" fontId="10" fillId="0" borderId="0" xfId="0" applyFont="1" applyAlignment="1">
      <alignment vertical="center"/>
    </xf>
    <xf numFmtId="2" fontId="5" fillId="0" borderId="0" xfId="573" applyNumberFormat="1" applyFont="1" applyFill="1"/>
    <xf numFmtId="9" fontId="5" fillId="0" borderId="0" xfId="273" applyNumberFormat="1" applyFont="1"/>
    <xf numFmtId="1" fontId="5" fillId="0" borderId="0" xfId="546" applyNumberFormat="1" applyAlignment="1">
      <alignment horizontal="center"/>
    </xf>
    <xf numFmtId="0" fontId="5" fillId="0" borderId="0" xfId="546" quotePrefix="1"/>
    <xf numFmtId="169" fontId="142" fillId="0" borderId="0" xfId="0" applyNumberFormat="1" applyFont="1" applyAlignment="1">
      <alignment vertical="center"/>
    </xf>
    <xf numFmtId="169" fontId="5" fillId="0" borderId="0" xfId="0" applyNumberFormat="1" applyFont="1" applyAlignment="1">
      <alignment vertical="center"/>
    </xf>
    <xf numFmtId="1" fontId="13" fillId="0" borderId="0" xfId="0" applyNumberFormat="1" applyFont="1"/>
    <xf numFmtId="0" fontId="11" fillId="0" borderId="0" xfId="0" applyFont="1" applyAlignment="1">
      <alignment vertical="center"/>
    </xf>
    <xf numFmtId="2" fontId="34" fillId="0" borderId="19" xfId="0" applyNumberFormat="1" applyFont="1" applyBorder="1"/>
    <xf numFmtId="0" fontId="126" fillId="0" borderId="7" xfId="546" applyFont="1" applyBorder="1" applyAlignment="1">
      <alignment vertical="top" wrapText="1"/>
    </xf>
    <xf numFmtId="0" fontId="126" fillId="0" borderId="0" xfId="546" applyFont="1" applyAlignment="1">
      <alignment vertical="top" wrapText="1"/>
    </xf>
    <xf numFmtId="0" fontId="45" fillId="0" borderId="0" xfId="0" applyFont="1" applyAlignment="1">
      <alignment vertical="center"/>
    </xf>
    <xf numFmtId="169" fontId="142" fillId="0" borderId="0" xfId="0" applyNumberFormat="1" applyFont="1" applyAlignment="1">
      <alignment vertical="center" wrapText="1"/>
    </xf>
    <xf numFmtId="169" fontId="142" fillId="0" borderId="13" xfId="0" applyNumberFormat="1" applyFont="1" applyBorder="1" applyAlignment="1">
      <alignment vertical="center" wrapText="1"/>
    </xf>
    <xf numFmtId="0" fontId="12" fillId="0" borderId="0" xfId="0" applyFont="1" applyAlignment="1">
      <alignment horizontal="center" vertical="center"/>
    </xf>
    <xf numFmtId="0" fontId="14" fillId="0" borderId="0" xfId="546" applyFont="1" applyAlignment="1">
      <alignment horizontal="center"/>
    </xf>
    <xf numFmtId="0" fontId="5" fillId="0" borderId="0" xfId="546" applyAlignment="1">
      <alignment wrapText="1"/>
    </xf>
    <xf numFmtId="0" fontId="5" fillId="0" borderId="0" xfId="0" applyFont="1" applyAlignment="1">
      <alignment vertical="center" wrapText="1"/>
    </xf>
    <xf numFmtId="0" fontId="12" fillId="0" borderId="64" xfId="0" applyFont="1" applyBorder="1" applyAlignment="1">
      <alignment horizontal="right"/>
    </xf>
    <xf numFmtId="0" fontId="14" fillId="0" borderId="13" xfId="0" applyFont="1" applyBorder="1" applyAlignment="1">
      <alignment vertical="top" wrapText="1"/>
    </xf>
    <xf numFmtId="0" fontId="13" fillId="0" borderId="63" xfId="0" applyFont="1" applyBorder="1" applyAlignment="1">
      <alignment vertical="top" wrapText="1"/>
    </xf>
    <xf numFmtId="0" fontId="13" fillId="0" borderId="14" xfId="0" applyFont="1" applyBorder="1" applyAlignment="1">
      <alignment vertical="top" wrapText="1"/>
    </xf>
    <xf numFmtId="164" fontId="0" fillId="0" borderId="14" xfId="0" applyNumberFormat="1" applyBorder="1" applyAlignment="1">
      <alignment horizontal="right"/>
    </xf>
    <xf numFmtId="0" fontId="13" fillId="0" borderId="14" xfId="0" applyFont="1" applyBorder="1"/>
    <xf numFmtId="0" fontId="13" fillId="0" borderId="75" xfId="0" applyFont="1" applyBorder="1" applyAlignment="1">
      <alignment horizontal="left" vertical="top" wrapText="1"/>
    </xf>
    <xf numFmtId="0" fontId="6" fillId="0" borderId="0" xfId="245" applyAlignment="1" applyProtection="1">
      <alignment horizontal="left" indent="1"/>
    </xf>
    <xf numFmtId="9" fontId="34" fillId="0" borderId="0" xfId="0" applyNumberFormat="1" applyFont="1"/>
    <xf numFmtId="0" fontId="109" fillId="0" borderId="0" xfId="0" applyFont="1" applyAlignment="1">
      <alignment horizontal="left" vertical="top" wrapText="1"/>
    </xf>
    <xf numFmtId="0" fontId="5" fillId="0" borderId="0" xfId="0" applyFont="1" applyAlignment="1">
      <alignment horizontal="left" vertical="top" wrapText="1"/>
    </xf>
    <xf numFmtId="0" fontId="6" fillId="0" borderId="0" xfId="245" applyFill="1" applyBorder="1" applyAlignment="1" applyProtection="1">
      <alignment horizontal="left"/>
    </xf>
    <xf numFmtId="0" fontId="6" fillId="0" borderId="0" xfId="245" applyBorder="1" applyAlignment="1" applyProtection="1">
      <alignment horizontal="left"/>
    </xf>
    <xf numFmtId="0" fontId="5" fillId="0" borderId="0" xfId="0" applyFont="1" applyAlignment="1">
      <alignment vertical="top" wrapText="1"/>
    </xf>
    <xf numFmtId="0" fontId="6" fillId="0" borderId="0" xfId="245" applyAlignment="1">
      <alignment horizontal="left" vertical="top"/>
    </xf>
    <xf numFmtId="0" fontId="5" fillId="0" borderId="0" xfId="0" applyFont="1" applyAlignment="1">
      <alignment horizontal="left" wrapText="1"/>
    </xf>
    <xf numFmtId="0" fontId="14" fillId="0" borderId="0" xfId="0" applyFont="1" applyAlignment="1">
      <alignment horizontal="left" wrapText="1"/>
    </xf>
    <xf numFmtId="0" fontId="112" fillId="0" borderId="0" xfId="0" applyFont="1" applyAlignment="1">
      <alignment horizontal="left" wrapText="1"/>
    </xf>
    <xf numFmtId="0" fontId="14" fillId="0" borderId="0" xfId="0" applyFont="1" applyAlignment="1">
      <alignment horizontal="left" vertical="top" wrapText="1"/>
    </xf>
    <xf numFmtId="0" fontId="12" fillId="0" borderId="0" xfId="0" applyFont="1" applyAlignment="1">
      <alignment horizontal="left" vertical="top" wrapText="1"/>
    </xf>
    <xf numFmtId="0" fontId="38" fillId="0" borderId="0" xfId="0" applyFont="1" applyAlignment="1">
      <alignment horizontal="left" vertical="top" wrapText="1"/>
    </xf>
    <xf numFmtId="0" fontId="11" fillId="5" borderId="0" xfId="0" applyFont="1" applyFill="1" applyAlignment="1">
      <alignment horizontal="center" vertical="center" wrapText="1"/>
    </xf>
    <xf numFmtId="0" fontId="11" fillId="5" borderId="13"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5" fillId="0" borderId="0" xfId="273" applyFont="1" applyAlignment="1">
      <alignment horizontal="left" vertical="top" wrapText="1"/>
    </xf>
    <xf numFmtId="0" fontId="6" fillId="0" borderId="0" xfId="245" applyAlignment="1" applyProtection="1">
      <alignment horizontal="left"/>
    </xf>
    <xf numFmtId="0" fontId="12" fillId="0" borderId="0" xfId="0" applyFont="1" applyAlignment="1">
      <alignment wrapText="1"/>
    </xf>
    <xf numFmtId="0" fontId="20" fillId="0" borderId="0" xfId="0" applyFont="1" applyAlignment="1">
      <alignment horizontal="center"/>
    </xf>
    <xf numFmtId="0" fontId="0" fillId="0" borderId="0" xfId="0"/>
    <xf numFmtId="0" fontId="21" fillId="0" borderId="0" xfId="0" applyFont="1" applyAlignment="1">
      <alignment horizontal="center"/>
    </xf>
    <xf numFmtId="0" fontId="5" fillId="0" borderId="0" xfId="0" applyFont="1" applyAlignment="1">
      <alignment wrapText="1"/>
    </xf>
    <xf numFmtId="0" fontId="14" fillId="0" borderId="0" xfId="0" applyFont="1" applyAlignment="1">
      <alignment wrapText="1"/>
    </xf>
    <xf numFmtId="0" fontId="0" fillId="0" borderId="0" xfId="0" applyAlignment="1">
      <alignment wrapText="1"/>
    </xf>
    <xf numFmtId="0" fontId="14" fillId="0" borderId="0" xfId="0" applyFont="1"/>
    <xf numFmtId="4" fontId="14" fillId="0" borderId="0" xfId="0" applyNumberFormat="1" applyFont="1" applyAlignment="1">
      <alignment horizontal="left" vertical="top" wrapText="1"/>
    </xf>
    <xf numFmtId="4" fontId="14" fillId="0" borderId="0" xfId="0" applyNumberFormat="1" applyFont="1" applyAlignment="1">
      <alignment horizontal="left"/>
    </xf>
    <xf numFmtId="0" fontId="14" fillId="0" borderId="0" xfId="0" applyFont="1" applyAlignment="1">
      <alignment horizontal="left"/>
    </xf>
    <xf numFmtId="0" fontId="24" fillId="0" borderId="0" xfId="0" applyFont="1" applyAlignment="1">
      <alignment horizontal="left"/>
    </xf>
    <xf numFmtId="0" fontId="5" fillId="0" borderId="0" xfId="0" applyFont="1" applyAlignment="1">
      <alignment horizontal="left"/>
    </xf>
    <xf numFmtId="4" fontId="14" fillId="0" borderId="0" xfId="273" applyNumberFormat="1" applyAlignment="1">
      <alignment horizontal="left" vertical="top" wrapText="1"/>
    </xf>
    <xf numFmtId="4" fontId="24" fillId="0" borderId="0" xfId="0" applyNumberFormat="1" applyFont="1" applyAlignment="1">
      <alignment horizontal="left"/>
    </xf>
    <xf numFmtId="49" fontId="5" fillId="0" borderId="0" xfId="0" applyNumberFormat="1" applyFont="1" applyAlignment="1">
      <alignment horizontal="left" vertical="top" wrapText="1"/>
    </xf>
    <xf numFmtId="49" fontId="14" fillId="0" borderId="0" xfId="0" applyNumberFormat="1" applyFont="1" applyAlignment="1">
      <alignment horizontal="left" vertical="top" wrapText="1"/>
    </xf>
    <xf numFmtId="0" fontId="24" fillId="0" borderId="0" xfId="0" applyFont="1" applyAlignment="1">
      <alignment horizontal="left" vertical="top" wrapText="1"/>
    </xf>
    <xf numFmtId="0" fontId="12" fillId="0" borderId="0" xfId="273" applyFont="1" applyAlignment="1">
      <alignment horizontal="left" vertical="top" wrapText="1"/>
    </xf>
    <xf numFmtId="0" fontId="24" fillId="0" borderId="0" xfId="273" applyFont="1" applyAlignment="1">
      <alignment horizontal="left" vertical="top" wrapText="1"/>
    </xf>
    <xf numFmtId="0" fontId="14" fillId="0" borderId="0" xfId="0" applyFont="1" applyAlignment="1">
      <alignment horizontal="left" vertical="top"/>
    </xf>
    <xf numFmtId="49" fontId="12" fillId="0" borderId="0" xfId="0" applyNumberFormat="1" applyFont="1" applyAlignment="1">
      <alignment horizontal="left" vertical="top"/>
    </xf>
    <xf numFmtId="0" fontId="12" fillId="0" borderId="4" xfId="0" applyFont="1" applyBorder="1" applyAlignment="1">
      <alignment horizontal="left" vertical="top"/>
    </xf>
    <xf numFmtId="49" fontId="12" fillId="0" borderId="0" xfId="0" applyNumberFormat="1" applyFont="1" applyAlignment="1">
      <alignment horizontal="left"/>
    </xf>
    <xf numFmtId="0" fontId="5" fillId="0" borderId="0" xfId="0" quotePrefix="1" applyFont="1" applyAlignment="1">
      <alignment horizontal="left" vertical="top"/>
    </xf>
    <xf numFmtId="0" fontId="14" fillId="0" borderId="0" xfId="0" quotePrefix="1" applyFont="1" applyAlignment="1">
      <alignment horizontal="left" vertical="top"/>
    </xf>
    <xf numFmtId="4" fontId="24" fillId="0" borderId="0" xfId="0" applyNumberFormat="1" applyFont="1" applyAlignment="1">
      <alignment horizontal="left" vertical="top" wrapText="1"/>
    </xf>
    <xf numFmtId="0" fontId="14" fillId="0" borderId="0" xfId="273" applyAlignment="1">
      <alignment horizontal="left"/>
    </xf>
    <xf numFmtId="0" fontId="24" fillId="0" borderId="0" xfId="259" applyFont="1" applyAlignment="1">
      <alignment horizontal="left"/>
    </xf>
    <xf numFmtId="0" fontId="14" fillId="0" borderId="0" xfId="259" applyAlignment="1">
      <alignment horizontal="left" vertical="top" wrapText="1"/>
    </xf>
    <xf numFmtId="0" fontId="14" fillId="0" borderId="0" xfId="259" applyAlignment="1">
      <alignment horizontal="left"/>
    </xf>
    <xf numFmtId="0" fontId="5" fillId="0" borderId="0" xfId="259" applyFont="1" applyAlignment="1">
      <alignment horizontal="left" vertical="top" wrapText="1"/>
    </xf>
    <xf numFmtId="4" fontId="6" fillId="0" borderId="0" xfId="245" applyNumberFormat="1" applyFill="1" applyAlignment="1" applyProtection="1">
      <alignment horizontal="left"/>
    </xf>
    <xf numFmtId="4" fontId="5" fillId="0" borderId="0" xfId="0" applyNumberFormat="1" applyFont="1" applyAlignment="1">
      <alignment horizontal="left" vertical="top" wrapText="1"/>
    </xf>
    <xf numFmtId="0" fontId="6" fillId="0" borderId="0" xfId="245" quotePrefix="1" applyAlignment="1" applyProtection="1">
      <alignment horizontal="left"/>
    </xf>
    <xf numFmtId="0" fontId="12" fillId="0" borderId="0" xfId="0" applyFont="1" applyAlignment="1">
      <alignment horizontal="left"/>
    </xf>
    <xf numFmtId="0" fontId="14" fillId="0" borderId="0" xfId="0" quotePrefix="1" applyFont="1" applyAlignment="1">
      <alignment horizontal="left" vertical="top" wrapText="1"/>
    </xf>
    <xf numFmtId="0" fontId="5" fillId="0" borderId="0" xfId="278" applyFont="1" applyAlignment="1">
      <alignment horizontal="left" vertical="top" wrapText="1"/>
    </xf>
    <xf numFmtId="0" fontId="14" fillId="0" borderId="0" xfId="278" applyAlignment="1">
      <alignment horizontal="left" vertical="top" wrapText="1"/>
    </xf>
    <xf numFmtId="0" fontId="6" fillId="0" borderId="0" xfId="245" applyNumberFormat="1" applyFill="1" applyAlignment="1" applyProtection="1">
      <alignment horizontal="left"/>
      <protection locked="0"/>
    </xf>
    <xf numFmtId="0" fontId="24" fillId="0" borderId="0" xfId="0" applyFont="1" applyAlignment="1">
      <alignment horizontal="left" vertical="top"/>
    </xf>
    <xf numFmtId="4" fontId="14" fillId="0" borderId="0" xfId="278" applyNumberFormat="1" applyAlignment="1">
      <alignment horizontal="left" vertical="top" wrapText="1"/>
    </xf>
    <xf numFmtId="0" fontId="14" fillId="0" borderId="0" xfId="0" applyFont="1" applyAlignment="1">
      <alignment vertical="top"/>
    </xf>
    <xf numFmtId="0" fontId="5" fillId="0" borderId="0" xfId="0" applyFont="1" applyAlignment="1">
      <alignment horizontal="left" vertical="top"/>
    </xf>
    <xf numFmtId="0" fontId="12" fillId="0" borderId="4" xfId="0" applyFont="1" applyBorder="1" applyAlignment="1">
      <alignment horizontal="left"/>
    </xf>
    <xf numFmtId="0" fontId="40" fillId="0" borderId="0" xfId="0" applyFont="1" applyAlignment="1">
      <alignment horizontal="left" vertical="top"/>
    </xf>
    <xf numFmtId="49" fontId="14" fillId="0" borderId="0" xfId="273" applyNumberFormat="1" applyAlignment="1">
      <alignment horizontal="left" vertical="top" wrapText="1"/>
    </xf>
    <xf numFmtId="0" fontId="14" fillId="0" borderId="0" xfId="273" applyAlignment="1">
      <alignment horizontal="left" vertical="top" wrapText="1"/>
    </xf>
    <xf numFmtId="0" fontId="40" fillId="0" borderId="0" xfId="0" applyFont="1" applyAlignment="1">
      <alignment horizontal="left"/>
    </xf>
    <xf numFmtId="4" fontId="5" fillId="0" borderId="0" xfId="0" applyNumberFormat="1" applyFont="1" applyAlignment="1">
      <alignment horizontal="left"/>
    </xf>
    <xf numFmtId="0" fontId="12" fillId="0" borderId="0" xfId="0" applyFont="1" applyAlignment="1">
      <alignment horizontal="left" vertical="top"/>
    </xf>
    <xf numFmtId="0" fontId="5" fillId="0" borderId="0" xfId="766" applyAlignment="1">
      <alignment horizontal="left"/>
    </xf>
    <xf numFmtId="0" fontId="14" fillId="0" borderId="0" xfId="273" applyAlignment="1">
      <alignment horizontal="left" wrapText="1"/>
    </xf>
    <xf numFmtId="0" fontId="0" fillId="0" borderId="0" xfId="0" applyAlignment="1">
      <alignment horizontal="left" vertical="top" wrapText="1"/>
    </xf>
    <xf numFmtId="0" fontId="24" fillId="0" borderId="0" xfId="0" applyFont="1" applyAlignment="1">
      <alignment horizontal="center"/>
    </xf>
    <xf numFmtId="0" fontId="12" fillId="0" borderId="0" xfId="273" applyFont="1" applyAlignment="1">
      <alignment horizontal="center"/>
    </xf>
    <xf numFmtId="0" fontId="14" fillId="0" borderId="0" xfId="273"/>
    <xf numFmtId="0" fontId="24" fillId="0" borderId="0" xfId="0" applyFont="1" applyAlignment="1">
      <alignment horizontal="left" wrapText="1"/>
    </xf>
    <xf numFmtId="0" fontId="24" fillId="0" borderId="0" xfId="0" applyFont="1" applyAlignment="1">
      <alignment horizontal="center" wrapText="1"/>
    </xf>
    <xf numFmtId="0" fontId="12" fillId="0" borderId="6" xfId="0" applyFont="1" applyBorder="1" applyAlignment="1">
      <alignment horizontal="left"/>
    </xf>
    <xf numFmtId="0" fontId="14" fillId="0" borderId="42" xfId="0" applyFont="1" applyBorder="1" applyAlignment="1">
      <alignment horizontal="left"/>
    </xf>
    <xf numFmtId="0" fontId="24" fillId="0" borderId="0" xfId="273" applyFont="1" applyAlignment="1">
      <alignment horizontal="left"/>
    </xf>
    <xf numFmtId="4" fontId="5" fillId="0" borderId="0" xfId="273" applyNumberFormat="1" applyFont="1" applyAlignment="1">
      <alignment horizontal="left" vertical="top" wrapText="1"/>
    </xf>
    <xf numFmtId="0" fontId="5" fillId="0" borderId="0" xfId="259" applyFont="1" applyAlignment="1">
      <alignment vertical="top" wrapText="1"/>
    </xf>
    <xf numFmtId="0" fontId="14" fillId="0" borderId="0" xfId="259" applyAlignment="1">
      <alignment vertical="top" wrapText="1"/>
    </xf>
    <xf numFmtId="0" fontId="12" fillId="0" borderId="0" xfId="0" applyFont="1" applyAlignment="1">
      <alignment vertical="top" wrapText="1"/>
    </xf>
    <xf numFmtId="0" fontId="6" fillId="0" borderId="0" xfId="245" applyAlignment="1" applyProtection="1">
      <alignment horizontal="left" vertical="top" wrapText="1"/>
    </xf>
    <xf numFmtId="169" fontId="5" fillId="7" borderId="12" xfId="766" applyNumberFormat="1" applyFill="1" applyBorder="1" applyAlignment="1" applyProtection="1">
      <alignment horizontal="right"/>
      <protection locked="0"/>
    </xf>
    <xf numFmtId="0" fontId="5" fillId="7" borderId="4" xfId="766" applyFill="1" applyBorder="1" applyAlignment="1" applyProtection="1">
      <alignment horizontal="left"/>
      <protection locked="0"/>
    </xf>
    <xf numFmtId="0" fontId="5" fillId="7" borderId="5" xfId="766" applyFill="1" applyBorder="1" applyAlignment="1" applyProtection="1">
      <alignment horizontal="left"/>
      <protection locked="0"/>
    </xf>
    <xf numFmtId="167" fontId="5" fillId="7" borderId="4" xfId="766" applyNumberFormat="1" applyFill="1" applyBorder="1" applyAlignment="1" applyProtection="1">
      <alignment horizontal="left"/>
      <protection locked="0"/>
    </xf>
    <xf numFmtId="0" fontId="0" fillId="7" borderId="4" xfId="0" applyFill="1" applyBorder="1" applyAlignment="1" applyProtection="1">
      <alignment horizontal="left"/>
      <protection locked="0"/>
    </xf>
    <xf numFmtId="0" fontId="14" fillId="7" borderId="4" xfId="0" applyFont="1" applyFill="1" applyBorder="1" applyAlignment="1" applyProtection="1">
      <alignment horizontal="left"/>
      <protection locked="0"/>
    </xf>
    <xf numFmtId="0" fontId="5" fillId="7" borderId="12" xfId="766" applyFill="1" applyBorder="1" applyProtection="1">
      <protection locked="0"/>
    </xf>
    <xf numFmtId="169" fontId="5" fillId="51" borderId="3" xfId="766" applyNumberFormat="1" applyFill="1" applyBorder="1" applyAlignment="1" applyProtection="1">
      <alignment horizontal="center"/>
      <protection locked="0"/>
    </xf>
    <xf numFmtId="169" fontId="5" fillId="51" borderId="4" xfId="766" applyNumberFormat="1" applyFill="1" applyBorder="1" applyAlignment="1" applyProtection="1">
      <alignment horizontal="center"/>
      <protection locked="0"/>
    </xf>
    <xf numFmtId="169" fontId="5" fillId="51" borderId="8" xfId="766" applyNumberFormat="1" applyFill="1" applyBorder="1" applyAlignment="1" applyProtection="1">
      <alignment horizontal="center"/>
      <protection locked="0"/>
    </xf>
    <xf numFmtId="1" fontId="5" fillId="7" borderId="3" xfId="766" applyNumberFormat="1" applyFill="1" applyBorder="1" applyProtection="1">
      <protection locked="0"/>
    </xf>
    <xf numFmtId="1" fontId="5" fillId="7" borderId="4" xfId="766" applyNumberFormat="1" applyFill="1" applyBorder="1" applyProtection="1">
      <protection locked="0"/>
    </xf>
    <xf numFmtId="1" fontId="5" fillId="7" borderId="8" xfId="766" applyNumberFormat="1" applyFill="1" applyBorder="1" applyProtection="1">
      <protection locked="0"/>
    </xf>
    <xf numFmtId="0" fontId="13" fillId="7" borderId="3" xfId="766" applyFont="1" applyFill="1" applyBorder="1" applyProtection="1">
      <protection locked="0"/>
    </xf>
    <xf numFmtId="0" fontId="13" fillId="7" borderId="4" xfId="766" applyFont="1" applyFill="1" applyBorder="1" applyProtection="1">
      <protection locked="0"/>
    </xf>
    <xf numFmtId="0" fontId="13" fillId="7" borderId="8" xfId="766" applyFont="1" applyFill="1" applyBorder="1" applyProtection="1">
      <protection locked="0"/>
    </xf>
    <xf numFmtId="1" fontId="5" fillId="51" borderId="3" xfId="766" applyNumberFormat="1" applyFill="1" applyBorder="1" applyAlignment="1" applyProtection="1">
      <alignment horizontal="center"/>
      <protection locked="0"/>
    </xf>
    <xf numFmtId="1" fontId="5" fillId="51" borderId="4" xfId="766" applyNumberFormat="1" applyFill="1" applyBorder="1" applyAlignment="1" applyProtection="1">
      <alignment horizontal="center"/>
      <protection locked="0"/>
    </xf>
    <xf numFmtId="1" fontId="5" fillId="51" borderId="8" xfId="766" applyNumberFormat="1" applyFill="1" applyBorder="1" applyAlignment="1" applyProtection="1">
      <alignment horizontal="center"/>
      <protection locked="0"/>
    </xf>
    <xf numFmtId="169" fontId="5" fillId="7" borderId="3" xfId="766" applyNumberFormat="1" applyFill="1" applyBorder="1" applyAlignment="1" applyProtection="1">
      <alignment horizontal="center"/>
      <protection locked="0"/>
    </xf>
    <xf numFmtId="169" fontId="5" fillId="7" borderId="4" xfId="766" applyNumberFormat="1" applyFill="1" applyBorder="1" applyAlignment="1" applyProtection="1">
      <alignment horizontal="center"/>
      <protection locked="0"/>
    </xf>
    <xf numFmtId="169" fontId="5" fillId="7" borderId="8" xfId="766" applyNumberFormat="1" applyFill="1" applyBorder="1" applyAlignment="1" applyProtection="1">
      <alignment horizontal="center"/>
      <protection locked="0"/>
    </xf>
    <xf numFmtId="176" fontId="5" fillId="7" borderId="3" xfId="766" applyNumberFormat="1" applyFill="1" applyBorder="1" applyProtection="1">
      <protection locked="0"/>
    </xf>
    <xf numFmtId="176" fontId="5" fillId="7" borderId="4" xfId="766" applyNumberFormat="1" applyFill="1" applyBorder="1" applyProtection="1">
      <protection locked="0"/>
    </xf>
    <xf numFmtId="176" fontId="5" fillId="7" borderId="8" xfId="766" applyNumberFormat="1" applyFill="1" applyBorder="1" applyProtection="1">
      <protection locked="0"/>
    </xf>
    <xf numFmtId="0" fontId="5" fillId="7" borderId="12" xfId="766" applyFill="1" applyBorder="1" applyAlignment="1" applyProtection="1">
      <alignment horizontal="left" vertical="center"/>
      <protection locked="0"/>
    </xf>
    <xf numFmtId="1" fontId="5" fillId="51" borderId="3" xfId="0" applyNumberFormat="1" applyFont="1" applyFill="1" applyBorder="1" applyAlignment="1" applyProtection="1">
      <alignment horizontal="center"/>
      <protection locked="0"/>
    </xf>
    <xf numFmtId="1" fontId="5" fillId="51" borderId="4" xfId="0" applyNumberFormat="1" applyFont="1" applyFill="1" applyBorder="1" applyAlignment="1" applyProtection="1">
      <alignment horizontal="center"/>
      <protection locked="0"/>
    </xf>
    <xf numFmtId="1" fontId="5" fillId="51" borderId="8" xfId="0" applyNumberFormat="1" applyFont="1" applyFill="1" applyBorder="1" applyAlignment="1" applyProtection="1">
      <alignment horizontal="center"/>
      <protection locked="0"/>
    </xf>
    <xf numFmtId="169" fontId="5" fillId="51" borderId="3" xfId="0" applyNumberFormat="1" applyFont="1" applyFill="1" applyBorder="1" applyAlignment="1" applyProtection="1">
      <alignment horizontal="center"/>
      <protection locked="0"/>
    </xf>
    <xf numFmtId="169" fontId="5" fillId="51" borderId="4" xfId="0" applyNumberFormat="1" applyFont="1" applyFill="1" applyBorder="1" applyAlignment="1" applyProtection="1">
      <alignment horizontal="center"/>
      <protection locked="0"/>
    </xf>
    <xf numFmtId="169" fontId="5" fillId="51" borderId="8" xfId="0" applyNumberFormat="1" applyFont="1" applyFill="1" applyBorder="1" applyAlignment="1" applyProtection="1">
      <alignment horizontal="center"/>
      <protection locked="0"/>
    </xf>
    <xf numFmtId="176" fontId="5" fillId="51" borderId="3" xfId="0" applyNumberFormat="1" applyFont="1" applyFill="1" applyBorder="1" applyAlignment="1" applyProtection="1">
      <alignment horizontal="center"/>
      <protection locked="0"/>
    </xf>
    <xf numFmtId="176" fontId="5" fillId="51" borderId="4" xfId="0" applyNumberFormat="1" applyFont="1" applyFill="1" applyBorder="1" applyAlignment="1" applyProtection="1">
      <alignment horizontal="center"/>
      <protection locked="0"/>
    </xf>
    <xf numFmtId="176" fontId="5"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5" fillId="7" borderId="4" xfId="0" applyFont="1" applyFill="1" applyBorder="1" applyAlignment="1" applyProtection="1">
      <alignment vertical="center"/>
      <protection locked="0"/>
    </xf>
    <xf numFmtId="0" fontId="5" fillId="7" borderId="12" xfId="0" applyFont="1" applyFill="1" applyBorder="1" applyAlignment="1" applyProtection="1">
      <alignment horizontal="left" vertical="center"/>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5" fillId="0" borderId="3" xfId="0" applyFont="1" applyBorder="1"/>
    <xf numFmtId="0" fontId="5" fillId="0" borderId="4" xfId="0" applyFont="1" applyBorder="1"/>
    <xf numFmtId="0" fontId="5" fillId="0" borderId="8" xfId="0" applyFont="1" applyBorder="1"/>
    <xf numFmtId="0" fontId="48" fillId="0" borderId="3" xfId="0" applyFont="1" applyBorder="1"/>
    <xf numFmtId="0" fontId="48" fillId="0" borderId="4" xfId="0" applyFont="1" applyBorder="1"/>
    <xf numFmtId="0" fontId="48" fillId="0" borderId="8" xfId="0" applyFont="1" applyBorder="1"/>
    <xf numFmtId="0" fontId="0" fillId="0" borderId="3" xfId="0" applyBorder="1"/>
    <xf numFmtId="0" fontId="0" fillId="0" borderId="4" xfId="0" applyBorder="1"/>
    <xf numFmtId="0" fontId="0" fillId="0" borderId="8" xfId="0" applyBorder="1"/>
    <xf numFmtId="0" fontId="14" fillId="0" borderId="3" xfId="0" applyFont="1" applyBorder="1"/>
    <xf numFmtId="0" fontId="14" fillId="0" borderId="4" xfId="0" applyFont="1" applyBorder="1"/>
    <xf numFmtId="0" fontId="14"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4" fillId="7" borderId="9" xfId="0" applyNumberFormat="1" applyFont="1" applyFill="1" applyBorder="1" applyAlignment="1" applyProtection="1">
      <alignment horizontal="right"/>
      <protection locked="0"/>
    </xf>
    <xf numFmtId="169" fontId="14" fillId="7" borderId="5" xfId="0" applyNumberFormat="1" applyFont="1" applyFill="1" applyBorder="1" applyAlignment="1" applyProtection="1">
      <alignment horizontal="right"/>
      <protection locked="0"/>
    </xf>
    <xf numFmtId="169" fontId="14"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5" fillId="7" borderId="3" xfId="0" applyNumberFormat="1" applyFont="1" applyFill="1" applyBorder="1" applyAlignment="1" applyProtection="1">
      <alignment horizontal="left"/>
      <protection locked="0"/>
    </xf>
    <xf numFmtId="164" fontId="25" fillId="7" borderId="4" xfId="0" applyNumberFormat="1" applyFont="1" applyFill="1" applyBorder="1" applyAlignment="1" applyProtection="1">
      <alignment horizontal="left"/>
      <protection locked="0"/>
    </xf>
    <xf numFmtId="164" fontId="25" fillId="7" borderId="8" xfId="0" applyNumberFormat="1" applyFont="1" applyFill="1" applyBorder="1" applyAlignment="1" applyProtection="1">
      <alignment horizontal="left"/>
      <protection locked="0"/>
    </xf>
    <xf numFmtId="0" fontId="11" fillId="5" borderId="0" xfId="0" applyFont="1" applyFill="1" applyAlignment="1">
      <alignment horizontal="center" vertical="center"/>
    </xf>
    <xf numFmtId="0" fontId="126" fillId="0" borderId="7" xfId="546" applyFont="1" applyBorder="1" applyAlignment="1">
      <alignment horizontal="center" vertical="top" wrapText="1"/>
    </xf>
    <xf numFmtId="0" fontId="126" fillId="0" borderId="0" xfId="546" applyFont="1" applyAlignment="1">
      <alignment horizontal="center" vertical="top" wrapText="1"/>
    </xf>
    <xf numFmtId="0" fontId="126" fillId="0" borderId="13" xfId="546" applyFont="1" applyBorder="1" applyAlignment="1">
      <alignment horizontal="center" vertical="top" wrapText="1"/>
    </xf>
    <xf numFmtId="0" fontId="126" fillId="0" borderId="9" xfId="546" applyFont="1" applyBorder="1" applyAlignment="1">
      <alignment horizontal="center" vertical="top" wrapText="1"/>
    </xf>
    <xf numFmtId="0" fontId="126" fillId="0" borderId="5" xfId="546" applyFont="1" applyBorder="1" applyAlignment="1">
      <alignment horizontal="center" vertical="top" wrapText="1"/>
    </xf>
    <xf numFmtId="0" fontId="126" fillId="0" borderId="10" xfId="546" applyFont="1" applyBorder="1" applyAlignment="1">
      <alignment horizontal="center" vertical="top" wrapText="1"/>
    </xf>
    <xf numFmtId="169" fontId="142" fillId="0" borderId="0" xfId="0" applyNumberFormat="1" applyFont="1" applyAlignment="1">
      <alignment horizontal="center" vertical="center" wrapText="1"/>
    </xf>
    <xf numFmtId="0" fontId="14" fillId="7" borderId="12" xfId="0" applyFont="1" applyFill="1" applyBorder="1" applyAlignment="1" applyProtection="1">
      <alignment horizontal="center"/>
      <protection locked="0"/>
    </xf>
    <xf numFmtId="0" fontId="14" fillId="0" borderId="3" xfId="0" applyFont="1" applyBorder="1" applyAlignment="1">
      <alignment horizontal="left"/>
    </xf>
    <xf numFmtId="0" fontId="14" fillId="0" borderId="4" xfId="0" applyFont="1" applyBorder="1" applyAlignment="1">
      <alignment horizontal="left"/>
    </xf>
    <xf numFmtId="0" fontId="14" fillId="0" borderId="8" xfId="0" applyFont="1" applyBorder="1" applyAlignment="1">
      <alignment horizontal="left"/>
    </xf>
    <xf numFmtId="169" fontId="5" fillId="0" borderId="3" xfId="0" applyNumberFormat="1" applyFont="1" applyBorder="1" applyAlignment="1">
      <alignment horizontal="left" vertical="top"/>
    </xf>
    <xf numFmtId="169" fontId="5" fillId="0" borderId="4" xfId="0" applyNumberFormat="1" applyFont="1" applyBorder="1" applyAlignment="1">
      <alignment horizontal="left" vertical="top"/>
    </xf>
    <xf numFmtId="169" fontId="5"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14" fillId="7" borderId="5" xfId="0" applyFont="1" applyFill="1" applyBorder="1" applyAlignment="1" applyProtection="1">
      <alignment horizontal="center"/>
      <protection locked="0"/>
    </xf>
    <xf numFmtId="3" fontId="14" fillId="7" borderId="12" xfId="0" applyNumberFormat="1" applyFont="1" applyFill="1" applyBorder="1" applyAlignment="1" applyProtection="1">
      <alignment horizontal="center"/>
      <protection locked="0"/>
    </xf>
    <xf numFmtId="0" fontId="5" fillId="7" borderId="5" xfId="0" applyFont="1" applyFill="1" applyBorder="1" applyAlignment="1" applyProtection="1">
      <alignment horizontal="left"/>
      <protection locked="0"/>
    </xf>
    <xf numFmtId="1" fontId="5" fillId="7" borderId="3" xfId="0" applyNumberFormat="1" applyFont="1" applyFill="1" applyBorder="1" applyAlignment="1" applyProtection="1">
      <alignment horizontal="right" vertical="top"/>
      <protection locked="0"/>
    </xf>
    <xf numFmtId="1" fontId="5" fillId="7" borderId="4" xfId="0" applyNumberFormat="1" applyFont="1" applyFill="1" applyBorder="1" applyAlignment="1" applyProtection="1">
      <alignment horizontal="right" vertical="top"/>
      <protection locked="0"/>
    </xf>
    <xf numFmtId="1" fontId="5"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4" fillId="7" borderId="5" xfId="273" applyNumberFormat="1" applyFill="1" applyBorder="1" applyAlignment="1" applyProtection="1">
      <alignment horizontal="center"/>
      <protection locked="0"/>
    </xf>
    <xf numFmtId="49" fontId="14" fillId="7" borderId="5" xfId="273" applyNumberFormat="1" applyFill="1" applyBorder="1" applyAlignment="1" applyProtection="1">
      <alignment horizontal="center"/>
      <protection locked="0"/>
    </xf>
    <xf numFmtId="169" fontId="5" fillId="0" borderId="12" xfId="546" applyNumberFormat="1" applyBorder="1" applyAlignment="1">
      <alignment horizontal="center"/>
    </xf>
    <xf numFmtId="0" fontId="12" fillId="0" borderId="1" xfId="546" applyFont="1" applyBorder="1" applyAlignment="1">
      <alignment horizontal="left" vertical="center" wrapText="1"/>
    </xf>
    <xf numFmtId="0" fontId="12" fillId="0" borderId="2" xfId="546" applyFont="1" applyBorder="1" applyAlignment="1">
      <alignment horizontal="left" vertical="center" wrapText="1"/>
    </xf>
    <xf numFmtId="0" fontId="12" fillId="0" borderId="11" xfId="546" applyFont="1" applyBorder="1" applyAlignment="1">
      <alignment horizontal="left" vertical="center" wrapText="1"/>
    </xf>
    <xf numFmtId="0" fontId="13" fillId="7" borderId="3" xfId="546" applyFont="1" applyFill="1" applyBorder="1" applyAlignment="1" applyProtection="1">
      <alignment horizontal="center"/>
      <protection locked="0"/>
    </xf>
    <xf numFmtId="0" fontId="13" fillId="7" borderId="8" xfId="546" applyFont="1" applyFill="1" applyBorder="1" applyAlignment="1" applyProtection="1">
      <alignment horizontal="center"/>
      <protection locked="0"/>
    </xf>
    <xf numFmtId="0" fontId="13" fillId="7" borderId="3" xfId="546" applyFont="1" applyFill="1" applyBorder="1" applyAlignment="1" applyProtection="1">
      <alignment horizontal="center" vertical="top"/>
      <protection locked="0"/>
    </xf>
    <xf numFmtId="0" fontId="13" fillId="7" borderId="8" xfId="546" applyFont="1" applyFill="1" applyBorder="1" applyAlignment="1" applyProtection="1">
      <alignment horizontal="center" vertical="top"/>
      <protection locked="0"/>
    </xf>
    <xf numFmtId="0" fontId="12" fillId="0" borderId="3" xfId="546" applyFont="1" applyBorder="1" applyAlignment="1">
      <alignment horizontal="right"/>
    </xf>
    <xf numFmtId="0" fontId="12" fillId="0" borderId="4" xfId="546" applyFont="1" applyBorder="1" applyAlignment="1">
      <alignment horizontal="right"/>
    </xf>
    <xf numFmtId="0" fontId="12" fillId="0" borderId="8" xfId="546" applyFont="1" applyBorder="1" applyAlignment="1">
      <alignment horizontal="right"/>
    </xf>
    <xf numFmtId="0" fontId="14" fillId="7" borderId="3" xfId="0" applyFont="1" applyFill="1" applyBorder="1" applyAlignment="1" applyProtection="1">
      <alignment horizontal="center"/>
      <protection locked="0"/>
    </xf>
    <xf numFmtId="0" fontId="14" fillId="7" borderId="4" xfId="0" applyFont="1" applyFill="1" applyBorder="1" applyAlignment="1" applyProtection="1">
      <alignment horizontal="center"/>
      <protection locked="0"/>
    </xf>
    <xf numFmtId="0" fontId="14" fillId="7" borderId="8" xfId="0" applyFont="1" applyFill="1" applyBorder="1" applyAlignment="1" applyProtection="1">
      <alignment horizontal="center"/>
      <protection locked="0"/>
    </xf>
    <xf numFmtId="164" fontId="13" fillId="7" borderId="3" xfId="0" applyNumberFormat="1" applyFont="1" applyFill="1" applyBorder="1" applyAlignment="1" applyProtection="1">
      <alignment horizontal="left"/>
      <protection locked="0"/>
    </xf>
    <xf numFmtId="164" fontId="13" fillId="7" borderId="4" xfId="0" applyNumberFormat="1" applyFont="1" applyFill="1" applyBorder="1" applyAlignment="1" applyProtection="1">
      <alignment horizontal="left"/>
      <protection locked="0"/>
    </xf>
    <xf numFmtId="164" fontId="13" fillId="7" borderId="8" xfId="0" applyNumberFormat="1" applyFont="1" applyFill="1" applyBorder="1" applyAlignment="1" applyProtection="1">
      <alignment horizontal="left"/>
      <protection locked="0"/>
    </xf>
    <xf numFmtId="169" fontId="5" fillId="0" borderId="3" xfId="0" applyNumberFormat="1" applyFont="1" applyBorder="1" applyAlignment="1">
      <alignment horizontal="center"/>
    </xf>
    <xf numFmtId="169" fontId="5" fillId="0" borderId="4" xfId="0" applyNumberFormat="1" applyFont="1" applyBorder="1" applyAlignment="1">
      <alignment horizontal="center"/>
    </xf>
    <xf numFmtId="169" fontId="5" fillId="0" borderId="8" xfId="0" applyNumberFormat="1" applyFont="1" applyBorder="1" applyAlignment="1">
      <alignment horizontal="center"/>
    </xf>
    <xf numFmtId="169" fontId="5" fillId="7" borderId="3" xfId="0" applyNumberFormat="1" applyFont="1" applyFill="1" applyBorder="1" applyAlignment="1" applyProtection="1">
      <alignment horizontal="center"/>
      <protection locked="0"/>
    </xf>
    <xf numFmtId="169" fontId="5" fillId="7" borderId="4" xfId="0" applyNumberFormat="1" applyFont="1" applyFill="1" applyBorder="1" applyAlignment="1" applyProtection="1">
      <alignment horizontal="center"/>
      <protection locked="0"/>
    </xf>
    <xf numFmtId="169" fontId="5" fillId="7" borderId="8" xfId="0" applyNumberFormat="1" applyFont="1" applyFill="1" applyBorder="1" applyAlignment="1" applyProtection="1">
      <alignment horizontal="center"/>
      <protection locked="0"/>
    </xf>
    <xf numFmtId="169" fontId="5" fillId="0" borderId="1" xfId="546" applyNumberFormat="1" applyBorder="1" applyAlignment="1">
      <alignment horizontal="center" vertical="center"/>
    </xf>
    <xf numFmtId="169" fontId="5" fillId="0" borderId="2" xfId="546" applyNumberFormat="1" applyBorder="1" applyAlignment="1">
      <alignment horizontal="center" vertical="center"/>
    </xf>
    <xf numFmtId="169" fontId="5" fillId="0" borderId="11" xfId="546" applyNumberFormat="1" applyBorder="1" applyAlignment="1">
      <alignment horizontal="center" vertical="center"/>
    </xf>
    <xf numFmtId="169" fontId="5" fillId="0" borderId="7" xfId="546" applyNumberFormat="1" applyBorder="1" applyAlignment="1">
      <alignment horizontal="center" vertical="center"/>
    </xf>
    <xf numFmtId="169" fontId="5" fillId="0" borderId="0" xfId="546" applyNumberFormat="1" applyAlignment="1">
      <alignment horizontal="center" vertical="center"/>
    </xf>
    <xf numFmtId="169" fontId="5" fillId="0" borderId="13" xfId="546" applyNumberFormat="1" applyBorder="1" applyAlignment="1">
      <alignment horizontal="center" vertical="center"/>
    </xf>
    <xf numFmtId="169" fontId="5" fillId="0" borderId="9" xfId="546" applyNumberFormat="1" applyBorder="1" applyAlignment="1">
      <alignment horizontal="center" vertical="center"/>
    </xf>
    <xf numFmtId="169" fontId="5" fillId="0" borderId="5" xfId="546" applyNumberFormat="1" applyBorder="1" applyAlignment="1">
      <alignment horizontal="center" vertical="center"/>
    </xf>
    <xf numFmtId="169" fontId="5" fillId="0" borderId="10" xfId="546" applyNumberFormat="1" applyBorder="1" applyAlignment="1">
      <alignment horizontal="center" vertical="center"/>
    </xf>
    <xf numFmtId="0" fontId="13" fillId="7" borderId="9" xfId="546" applyFont="1" applyFill="1" applyBorder="1" applyAlignment="1" applyProtection="1">
      <alignment horizontal="center"/>
      <protection locked="0"/>
    </xf>
    <xf numFmtId="0" fontId="13" fillId="7" borderId="10" xfId="546" applyFont="1" applyFill="1" applyBorder="1" applyAlignment="1" applyProtection="1">
      <alignment horizontal="center"/>
      <protection locked="0"/>
    </xf>
    <xf numFmtId="0" fontId="5" fillId="0" borderId="7" xfId="0" applyFont="1" applyBorder="1" applyAlignment="1">
      <alignment horizontal="left" wrapText="1"/>
    </xf>
    <xf numFmtId="0" fontId="5" fillId="0" borderId="13" xfId="0" applyFont="1" applyBorder="1" applyAlignment="1">
      <alignment horizontal="left" wrapText="1"/>
    </xf>
    <xf numFmtId="0" fontId="5" fillId="0" borderId="9" xfId="0" applyFont="1" applyBorder="1" applyAlignment="1">
      <alignment horizontal="left" wrapText="1"/>
    </xf>
    <xf numFmtId="0" fontId="5" fillId="0" borderId="5" xfId="0" applyFont="1" applyBorder="1" applyAlignment="1">
      <alignment horizontal="left" wrapText="1"/>
    </xf>
    <xf numFmtId="0" fontId="5" fillId="0" borderId="10" xfId="0" applyFont="1" applyBorder="1" applyAlignment="1">
      <alignment horizontal="left" wrapText="1"/>
    </xf>
    <xf numFmtId="0" fontId="5" fillId="0" borderId="7" xfId="546" applyBorder="1" applyAlignment="1">
      <alignment horizontal="left" vertical="top" wrapText="1"/>
    </xf>
    <xf numFmtId="0" fontId="5" fillId="0" borderId="0" xfId="546" applyAlignment="1">
      <alignment horizontal="left" vertical="top" wrapText="1"/>
    </xf>
    <xf numFmtId="0" fontId="5" fillId="0" borderId="13" xfId="546" applyBorder="1" applyAlignment="1">
      <alignment horizontal="left" vertical="top" wrapText="1"/>
    </xf>
    <xf numFmtId="0" fontId="5" fillId="0" borderId="9" xfId="546" applyBorder="1" applyAlignment="1">
      <alignment horizontal="left" vertical="top" wrapText="1"/>
    </xf>
    <xf numFmtId="0" fontId="5" fillId="0" borderId="5" xfId="546" applyBorder="1" applyAlignment="1">
      <alignment horizontal="left" vertical="top" wrapText="1"/>
    </xf>
    <xf numFmtId="0" fontId="5" fillId="0" borderId="10" xfId="546" applyBorder="1" applyAlignment="1">
      <alignment horizontal="left" vertical="top" wrapText="1"/>
    </xf>
    <xf numFmtId="0" fontId="12" fillId="0" borderId="0" xfId="0" applyFont="1" applyAlignment="1">
      <alignment horizontal="center"/>
    </xf>
    <xf numFmtId="0" fontId="12" fillId="0" borderId="7" xfId="546" applyFont="1" applyBorder="1" applyAlignment="1">
      <alignment horizontal="left" vertical="center" wrapText="1"/>
    </xf>
    <xf numFmtId="0" fontId="12" fillId="0" borderId="0" xfId="546" applyFont="1" applyAlignment="1">
      <alignment horizontal="left" vertical="center" wrapText="1"/>
    </xf>
    <xf numFmtId="0" fontId="12" fillId="0" borderId="13" xfId="546" applyFont="1" applyBorder="1" applyAlignment="1">
      <alignment horizontal="left" vertical="center" wrapText="1"/>
    </xf>
    <xf numFmtId="0" fontId="12" fillId="0" borderId="1" xfId="546" applyFont="1" applyBorder="1" applyAlignment="1">
      <alignment horizontal="left" vertical="top" wrapText="1"/>
    </xf>
    <xf numFmtId="0" fontId="12" fillId="0" borderId="2" xfId="546" applyFont="1" applyBorder="1" applyAlignment="1">
      <alignment horizontal="left" vertical="top" wrapText="1"/>
    </xf>
    <xf numFmtId="0" fontId="12" fillId="0" borderId="11" xfId="546" applyFont="1" applyBorder="1" applyAlignment="1">
      <alignment horizontal="left" vertical="top" wrapText="1"/>
    </xf>
    <xf numFmtId="0" fontId="12" fillId="0" borderId="7" xfId="546" applyFont="1" applyBorder="1" applyAlignment="1">
      <alignment horizontal="left" vertical="top" wrapText="1"/>
    </xf>
    <xf numFmtId="0" fontId="12" fillId="0" borderId="0" xfId="546" applyFont="1" applyAlignment="1">
      <alignment horizontal="left" vertical="top" wrapText="1"/>
    </xf>
    <xf numFmtId="0" fontId="12" fillId="0" borderId="13" xfId="546" applyFont="1" applyBorder="1" applyAlignment="1">
      <alignment horizontal="left" vertical="top" wrapText="1"/>
    </xf>
    <xf numFmtId="0" fontId="13" fillId="7" borderId="3" xfId="546" applyFont="1" applyFill="1" applyBorder="1" applyAlignment="1" applyProtection="1">
      <alignment horizontal="left" vertical="top" wrapText="1"/>
      <protection locked="0"/>
    </xf>
    <xf numFmtId="0" fontId="13" fillId="7" borderId="4" xfId="546" applyFont="1" applyFill="1" applyBorder="1" applyAlignment="1" applyProtection="1">
      <alignment horizontal="left" vertical="top" wrapText="1"/>
      <protection locked="0"/>
    </xf>
    <xf numFmtId="0" fontId="13" fillId="7" borderId="8" xfId="546" applyFont="1" applyFill="1" applyBorder="1" applyAlignment="1" applyProtection="1">
      <alignment horizontal="left" vertical="top" wrapText="1"/>
      <protection locked="0"/>
    </xf>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0" fontId="126" fillId="0" borderId="9" xfId="546" applyFont="1" applyBorder="1" applyAlignment="1">
      <alignment horizontal="center" vertical="center" wrapText="1"/>
    </xf>
    <xf numFmtId="0" fontId="126" fillId="0" borderId="5" xfId="546" applyFont="1" applyBorder="1" applyAlignment="1">
      <alignment horizontal="center" vertical="center" wrapText="1"/>
    </xf>
    <xf numFmtId="0" fontId="126" fillId="0" borderId="10" xfId="546" applyFont="1" applyBorder="1" applyAlignment="1">
      <alignment horizontal="center" vertical="center" wrapText="1"/>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2"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2" fillId="7" borderId="3" xfId="0" applyFont="1" applyFill="1" applyBorder="1" applyAlignment="1" applyProtection="1">
      <alignment horizontal="right"/>
      <protection locked="0"/>
    </xf>
    <xf numFmtId="0" fontId="12" fillId="7" borderId="4" xfId="0" applyFont="1" applyFill="1" applyBorder="1" applyAlignment="1" applyProtection="1">
      <alignment horizontal="right"/>
      <protection locked="0"/>
    </xf>
    <xf numFmtId="0" fontId="12"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5" fillId="7" borderId="3" xfId="0" applyFont="1" applyFill="1" applyBorder="1" applyProtection="1">
      <protection locked="0"/>
    </xf>
    <xf numFmtId="0" fontId="14" fillId="0" borderId="4" xfId="0" applyFont="1" applyBorder="1" applyProtection="1">
      <protection locked="0"/>
    </xf>
    <xf numFmtId="0" fontId="14"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2" fillId="4" borderId="3" xfId="546" applyFont="1" applyFill="1" applyBorder="1" applyAlignment="1">
      <alignment horizontal="center"/>
    </xf>
    <xf numFmtId="0" fontId="12" fillId="4" borderId="4" xfId="546" applyFont="1" applyFill="1" applyBorder="1" applyAlignment="1">
      <alignment horizontal="center"/>
    </xf>
    <xf numFmtId="0" fontId="12" fillId="4" borderId="8" xfId="546" applyFont="1" applyFill="1" applyBorder="1" applyAlignment="1">
      <alignment horizontal="center"/>
    </xf>
    <xf numFmtId="0" fontId="5" fillId="2" borderId="3" xfId="546" applyFill="1" applyBorder="1" applyAlignment="1">
      <alignment horizontal="center"/>
    </xf>
    <xf numFmtId="0" fontId="5" fillId="2" borderId="4" xfId="546" applyFill="1" applyBorder="1" applyAlignment="1">
      <alignment horizontal="center"/>
    </xf>
    <xf numFmtId="0" fontId="5" fillId="2" borderId="8" xfId="546" applyFill="1" applyBorder="1" applyAlignment="1">
      <alignment horizontal="center"/>
    </xf>
    <xf numFmtId="169" fontId="5" fillId="4" borderId="3" xfId="546" applyNumberFormat="1" applyFill="1" applyBorder="1" applyAlignment="1">
      <alignment horizontal="center"/>
    </xf>
    <xf numFmtId="169" fontId="5" fillId="4" borderId="4" xfId="546" applyNumberFormat="1" applyFill="1" applyBorder="1" applyAlignment="1">
      <alignment horizontal="center"/>
    </xf>
    <xf numFmtId="169" fontId="5"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5" fillId="7" borderId="3" xfId="0" applyNumberFormat="1" applyFont="1" applyFill="1" applyBorder="1" applyAlignment="1" applyProtection="1">
      <alignment horizontal="right"/>
      <protection locked="0"/>
    </xf>
    <xf numFmtId="169" fontId="5" fillId="7" borderId="4" xfId="0" applyNumberFormat="1" applyFont="1" applyFill="1" applyBorder="1" applyAlignment="1" applyProtection="1">
      <alignment horizontal="right"/>
      <protection locked="0"/>
    </xf>
    <xf numFmtId="169" fontId="5" fillId="7" borderId="8" xfId="0" applyNumberFormat="1" applyFont="1" applyFill="1" applyBorder="1" applyAlignment="1" applyProtection="1">
      <alignment horizontal="right"/>
      <protection locked="0"/>
    </xf>
    <xf numFmtId="0" fontId="5" fillId="0" borderId="3" xfId="546" applyBorder="1" applyAlignment="1">
      <alignment horizontal="center"/>
    </xf>
    <xf numFmtId="0" fontId="5" fillId="0" borderId="4" xfId="546" applyBorder="1" applyAlignment="1">
      <alignment horizontal="center"/>
    </xf>
    <xf numFmtId="0" fontId="5" fillId="0" borderId="8" xfId="546" applyBorder="1" applyAlignment="1">
      <alignment horizontal="center"/>
    </xf>
    <xf numFmtId="165" fontId="5" fillId="0" borderId="1" xfId="0" applyNumberFormat="1" applyFont="1" applyBorder="1" applyAlignment="1">
      <alignment horizontal="right"/>
    </xf>
    <xf numFmtId="165" fontId="5" fillId="0" borderId="2" xfId="0" applyNumberFormat="1" applyFont="1" applyBorder="1" applyAlignment="1">
      <alignment horizontal="right"/>
    </xf>
    <xf numFmtId="165" fontId="5" fillId="0" borderId="11" xfId="0" applyNumberFormat="1" applyFont="1" applyBorder="1" applyAlignment="1">
      <alignment horizontal="right"/>
    </xf>
    <xf numFmtId="165" fontId="12" fillId="0" borderId="3" xfId="574" applyNumberFormat="1" applyFont="1" applyBorder="1" applyAlignment="1">
      <alignment horizontal="center"/>
    </xf>
    <xf numFmtId="165" fontId="12" fillId="0" borderId="4" xfId="574" applyNumberFormat="1" applyFont="1" applyBorder="1" applyAlignment="1">
      <alignment horizontal="center"/>
    </xf>
    <xf numFmtId="165" fontId="12" fillId="0" borderId="8" xfId="574" applyNumberFormat="1" applyFont="1" applyBorder="1" applyAlignment="1">
      <alignment horizontal="center"/>
    </xf>
    <xf numFmtId="0" fontId="5"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11"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Alignment="1">
      <alignment horizontal="center" vertical="top" wrapText="1"/>
    </xf>
    <xf numFmtId="0" fontId="5" fillId="0" borderId="13" xfId="0" applyFont="1" applyBorder="1" applyAlignment="1">
      <alignment horizontal="center" vertical="top" wrapText="1"/>
    </xf>
    <xf numFmtId="0" fontId="5" fillId="0" borderId="9" xfId="0" applyFont="1" applyBorder="1" applyAlignment="1">
      <alignment horizontal="center" vertical="top" wrapText="1"/>
    </xf>
    <xf numFmtId="0" fontId="5" fillId="0" borderId="5" xfId="0" applyFont="1" applyBorder="1" applyAlignment="1">
      <alignment horizontal="center" vertical="top" wrapText="1"/>
    </xf>
    <xf numFmtId="0" fontId="5"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4" fillId="7" borderId="5" xfId="273" applyFill="1" applyBorder="1" applyProtection="1">
      <protection locked="0"/>
    </xf>
    <xf numFmtId="9" fontId="5" fillId="7" borderId="3" xfId="0" applyNumberFormat="1" applyFont="1" applyFill="1" applyBorder="1" applyAlignment="1" applyProtection="1">
      <alignment horizontal="center"/>
      <protection locked="0"/>
    </xf>
    <xf numFmtId="9" fontId="5" fillId="7" borderId="4" xfId="0" applyNumberFormat="1" applyFont="1" applyFill="1" applyBorder="1" applyAlignment="1" applyProtection="1">
      <alignment horizontal="center"/>
      <protection locked="0"/>
    </xf>
    <xf numFmtId="9" fontId="5" fillId="7" borderId="8" xfId="0" applyNumberFormat="1" applyFont="1" applyFill="1" applyBorder="1" applyAlignment="1" applyProtection="1">
      <alignment horizontal="center"/>
      <protection locked="0"/>
    </xf>
    <xf numFmtId="0" fontId="0" fillId="0" borderId="5" xfId="0" applyBorder="1" applyAlignment="1">
      <alignment horizontal="left"/>
    </xf>
    <xf numFmtId="167" fontId="14" fillId="7" borderId="4" xfId="0" applyNumberFormat="1" applyFont="1" applyFill="1" applyBorder="1" applyAlignment="1" applyProtection="1">
      <alignment horizontal="left"/>
      <protection locked="0"/>
    </xf>
    <xf numFmtId="0" fontId="14" fillId="0" borderId="3" xfId="0" applyFont="1" applyBorder="1" applyAlignment="1">
      <alignment horizontal="center"/>
    </xf>
    <xf numFmtId="0" fontId="14" fillId="0" borderId="4" xfId="0" applyFont="1" applyBorder="1" applyAlignment="1">
      <alignment horizontal="center"/>
    </xf>
    <xf numFmtId="0" fontId="14" fillId="0" borderId="8" xfId="0" applyFont="1" applyBorder="1" applyAlignment="1">
      <alignment horizontal="center"/>
    </xf>
    <xf numFmtId="0" fontId="34" fillId="0" borderId="3" xfId="0" applyFont="1" applyBorder="1" applyAlignment="1">
      <alignment horizontal="center"/>
    </xf>
    <xf numFmtId="0" fontId="34" fillId="0" borderId="4" xfId="0" applyFont="1" applyBorder="1" applyAlignment="1">
      <alignment horizontal="center"/>
    </xf>
    <xf numFmtId="0" fontId="34" fillId="0" borderId="8"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8" xfId="0" applyFont="1" applyBorder="1" applyAlignment="1">
      <alignment horizontal="center"/>
    </xf>
    <xf numFmtId="0" fontId="14" fillId="0" borderId="9" xfId="0" applyFont="1" applyBorder="1" applyAlignment="1">
      <alignment horizontal="center"/>
    </xf>
    <xf numFmtId="0" fontId="14" fillId="0" borderId="5" xfId="0" applyFont="1" applyBorder="1" applyAlignment="1">
      <alignment horizontal="center"/>
    </xf>
    <xf numFmtId="0" fontId="14" fillId="0" borderId="10" xfId="0" applyFont="1" applyBorder="1" applyAlignment="1">
      <alignment horizontal="center"/>
    </xf>
    <xf numFmtId="0" fontId="14" fillId="2" borderId="3" xfId="0" applyFont="1" applyFill="1" applyBorder="1" applyAlignment="1">
      <alignment horizontal="center"/>
    </xf>
    <xf numFmtId="0" fontId="14" fillId="2" borderId="4" xfId="0" applyFont="1" applyFill="1" applyBorder="1" applyAlignment="1">
      <alignment horizontal="center"/>
    </xf>
    <xf numFmtId="0" fontId="14" fillId="2" borderId="8" xfId="0" applyFont="1" applyFill="1" applyBorder="1" applyAlignment="1">
      <alignment horizontal="center"/>
    </xf>
    <xf numFmtId="0" fontId="0" fillId="51" borderId="5" xfId="0" applyFill="1" applyBorder="1" applyAlignment="1" applyProtection="1">
      <alignment horizontal="left"/>
      <protection locked="0"/>
    </xf>
    <xf numFmtId="1" fontId="14" fillId="7" borderId="12" xfId="0" quotePrefix="1" applyNumberFormat="1" applyFont="1" applyFill="1" applyBorder="1" applyAlignment="1" applyProtection="1">
      <alignment horizontal="center"/>
      <protection locked="0"/>
    </xf>
    <xf numFmtId="1" fontId="14"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5" fillId="51" borderId="5" xfId="0" applyFont="1" applyFill="1" applyBorder="1" applyAlignment="1" applyProtection="1">
      <alignment horizontal="left"/>
      <protection locked="0"/>
    </xf>
    <xf numFmtId="0" fontId="14" fillId="7" borderId="9" xfId="0" applyFont="1" applyFill="1" applyBorder="1" applyAlignment="1" applyProtection="1">
      <alignment horizontal="center"/>
      <protection locked="0"/>
    </xf>
    <xf numFmtId="3" fontId="14" fillId="0" borderId="0" xfId="0" applyNumberFormat="1" applyFont="1" applyAlignment="1">
      <alignment horizontal="center"/>
    </xf>
    <xf numFmtId="169" fontId="5" fillId="7" borderId="5" xfId="0" applyNumberFormat="1" applyFont="1" applyFill="1" applyBorder="1" applyAlignment="1" applyProtection="1">
      <alignment horizontal="right"/>
      <protection locked="0"/>
    </xf>
    <xf numFmtId="10" fontId="5"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4" fillId="0" borderId="12" xfId="0" applyNumberFormat="1" applyFont="1" applyBorder="1" applyAlignment="1">
      <alignment horizontal="center"/>
    </xf>
    <xf numFmtId="0" fontId="5" fillId="0" borderId="3" xfId="0" applyFont="1" applyBorder="1" applyAlignment="1">
      <alignment horizontal="left"/>
    </xf>
    <xf numFmtId="169" fontId="14" fillId="0" borderId="3" xfId="0" applyNumberFormat="1" applyFont="1" applyBorder="1" applyAlignment="1">
      <alignment horizontal="left" vertical="top"/>
    </xf>
    <xf numFmtId="1" fontId="14" fillId="7" borderId="3" xfId="0" applyNumberFormat="1" applyFont="1" applyFill="1" applyBorder="1" applyAlignment="1" applyProtection="1">
      <alignment horizontal="right" vertical="top"/>
      <protection locked="0"/>
    </xf>
    <xf numFmtId="1" fontId="14" fillId="7" borderId="4" xfId="0" applyNumberFormat="1" applyFont="1" applyFill="1" applyBorder="1" applyAlignment="1" applyProtection="1">
      <alignment horizontal="right" vertical="top"/>
      <protection locked="0"/>
    </xf>
    <xf numFmtId="1" fontId="14" fillId="7" borderId="8" xfId="0" applyNumberFormat="1" applyFont="1" applyFill="1" applyBorder="1" applyAlignment="1" applyProtection="1">
      <alignment horizontal="right" vertical="top"/>
      <protection locked="0"/>
    </xf>
    <xf numFmtId="169" fontId="14"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14" fillId="0" borderId="4" xfId="0" applyNumberFormat="1" applyFont="1" applyBorder="1" applyAlignment="1">
      <alignment horizontal="left" vertical="top"/>
    </xf>
    <xf numFmtId="169" fontId="14" fillId="0" borderId="8" xfId="0" applyNumberFormat="1" applyFont="1" applyBorder="1" applyAlignment="1">
      <alignment horizontal="left" vertical="top"/>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Alignment="1">
      <alignment horizontal="center" vertical="center" wrapText="1"/>
    </xf>
    <xf numFmtId="0" fontId="12" fillId="0" borderId="1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5" fillId="7" borderId="9" xfId="766" applyFill="1" applyBorder="1" applyAlignment="1" applyProtection="1">
      <alignment horizontal="center"/>
      <protection locked="0"/>
    </xf>
    <xf numFmtId="0" fontId="5" fillId="7" borderId="5" xfId="766" applyFill="1" applyBorder="1" applyAlignment="1" applyProtection="1">
      <alignment horizontal="center"/>
      <protection locked="0"/>
    </xf>
    <xf numFmtId="3" fontId="14"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8" fillId="0" borderId="2" xfId="0" applyNumberFormat="1" applyFont="1" applyBorder="1" applyAlignment="1">
      <alignment horizontal="left" vertical="top" wrapText="1"/>
    </xf>
    <xf numFmtId="169" fontId="28" fillId="0" borderId="0" xfId="0" applyNumberFormat="1" applyFont="1" applyAlignment="1">
      <alignment horizontal="left" vertical="top" wrapText="1"/>
    </xf>
    <xf numFmtId="0" fontId="0" fillId="0" borderId="3" xfId="0" applyBorder="1" applyAlignment="1">
      <alignment horizontal="left"/>
    </xf>
    <xf numFmtId="0" fontId="25" fillId="7" borderId="5" xfId="0" applyFont="1" applyFill="1" applyBorder="1" applyAlignment="1" applyProtection="1">
      <alignment horizontal="left"/>
      <protection locked="0"/>
    </xf>
    <xf numFmtId="165" fontId="5" fillId="7" borderId="3" xfId="0" applyNumberFormat="1" applyFont="1" applyFill="1" applyBorder="1" applyAlignment="1" applyProtection="1">
      <alignment horizontal="center"/>
      <protection locked="0"/>
    </xf>
    <xf numFmtId="165" fontId="5" fillId="7" borderId="4" xfId="0" applyNumberFormat="1" applyFont="1" applyFill="1" applyBorder="1" applyAlignment="1" applyProtection="1">
      <alignment horizontal="center"/>
      <protection locked="0"/>
    </xf>
    <xf numFmtId="165" fontId="5" fillId="7" borderId="8" xfId="0" applyNumberFormat="1" applyFont="1" applyFill="1" applyBorder="1" applyAlignment="1" applyProtection="1">
      <alignment horizontal="center"/>
      <protection locked="0"/>
    </xf>
    <xf numFmtId="0" fontId="5" fillId="7" borderId="3" xfId="0" applyFont="1" applyFill="1" applyBorder="1" applyAlignment="1" applyProtection="1">
      <alignment horizontal="center"/>
      <protection locked="0"/>
    </xf>
    <xf numFmtId="0" fontId="5" fillId="7" borderId="4"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69" fontId="13"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5" fillId="7" borderId="9" xfId="0" applyFont="1" applyFill="1" applyBorder="1" applyAlignment="1" applyProtection="1">
      <alignment horizontal="center"/>
      <protection locked="0"/>
    </xf>
    <xf numFmtId="0" fontId="5" fillId="7" borderId="5" xfId="0" applyFont="1" applyFill="1" applyBorder="1" applyAlignment="1" applyProtection="1">
      <alignment horizontal="center"/>
      <protection locked="0"/>
    </xf>
    <xf numFmtId="0" fontId="5" fillId="7" borderId="4" xfId="766" applyFill="1" applyBorder="1" applyAlignment="1" applyProtection="1">
      <alignment horizontal="center"/>
      <protection locked="0"/>
    </xf>
    <xf numFmtId="0" fontId="5" fillId="7" borderId="8" xfId="766" applyFill="1" applyBorder="1" applyAlignment="1" applyProtection="1">
      <alignment horizontal="center"/>
      <protection locked="0"/>
    </xf>
    <xf numFmtId="1" fontId="5" fillId="7" borderId="3" xfId="0" applyNumberFormat="1" applyFont="1" applyFill="1" applyBorder="1" applyProtection="1">
      <protection locked="0"/>
    </xf>
    <xf numFmtId="1" fontId="5" fillId="7" borderId="4" xfId="0" applyNumberFormat="1" applyFont="1" applyFill="1" applyBorder="1" applyProtection="1">
      <protection locked="0"/>
    </xf>
    <xf numFmtId="1" fontId="5" fillId="7" borderId="8" xfId="0" applyNumberFormat="1" applyFont="1" applyFill="1" applyBorder="1" applyProtection="1">
      <protection locked="0"/>
    </xf>
    <xf numFmtId="0" fontId="13" fillId="7" borderId="3" xfId="0" applyFont="1" applyFill="1" applyBorder="1" applyProtection="1">
      <protection locked="0"/>
    </xf>
    <xf numFmtId="0" fontId="13" fillId="7" borderId="4" xfId="0" applyFont="1" applyFill="1" applyBorder="1" applyProtection="1">
      <protection locked="0"/>
    </xf>
    <xf numFmtId="0" fontId="13"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3" fontId="5" fillId="51" borderId="3" xfId="766" applyNumberFormat="1" applyFill="1" applyBorder="1" applyAlignment="1" applyProtection="1">
      <alignment horizontal="center"/>
      <protection locked="0"/>
    </xf>
    <xf numFmtId="3" fontId="5" fillId="51" borderId="4" xfId="766" applyNumberFormat="1" applyFill="1" applyBorder="1" applyAlignment="1" applyProtection="1">
      <alignment horizontal="center"/>
      <protection locked="0"/>
    </xf>
    <xf numFmtId="3" fontId="5" fillId="51" borderId="8" xfId="766" applyNumberFormat="1" applyFill="1" applyBorder="1" applyAlignment="1" applyProtection="1">
      <alignment horizontal="center"/>
      <protection locked="0"/>
    </xf>
    <xf numFmtId="1" fontId="5" fillId="7" borderId="3" xfId="766" applyNumberFormat="1" applyFill="1" applyBorder="1" applyAlignment="1" applyProtection="1">
      <alignment horizontal="center"/>
      <protection locked="0"/>
    </xf>
    <xf numFmtId="1" fontId="5" fillId="7" borderId="4" xfId="766" applyNumberFormat="1" applyFill="1" applyBorder="1" applyAlignment="1" applyProtection="1">
      <alignment horizontal="center"/>
      <protection locked="0"/>
    </xf>
    <xf numFmtId="1" fontId="5" fillId="7" borderId="8" xfId="766" applyNumberFormat="1" applyFill="1" applyBorder="1" applyAlignment="1" applyProtection="1">
      <alignment horizontal="center"/>
      <protection locked="0"/>
    </xf>
    <xf numFmtId="0" fontId="5" fillId="7" borderId="8" xfId="0" applyFont="1" applyFill="1" applyBorder="1" applyAlignment="1" applyProtection="1">
      <alignment horizontal="center"/>
      <protection locked="0"/>
    </xf>
    <xf numFmtId="1" fontId="5" fillId="7" borderId="3" xfId="0" applyNumberFormat="1" applyFont="1" applyFill="1" applyBorder="1" applyAlignment="1" applyProtection="1">
      <alignment horizontal="center"/>
      <protection locked="0"/>
    </xf>
    <xf numFmtId="1" fontId="5" fillId="7" borderId="4" xfId="0" applyNumberFormat="1" applyFont="1" applyFill="1" applyBorder="1" applyAlignment="1" applyProtection="1">
      <alignment horizontal="center"/>
      <protection locked="0"/>
    </xf>
    <xf numFmtId="1" fontId="5" fillId="7" borderId="8" xfId="0" applyNumberFormat="1" applyFont="1" applyFill="1" applyBorder="1" applyAlignment="1" applyProtection="1">
      <alignment horizontal="center"/>
      <protection locked="0"/>
    </xf>
    <xf numFmtId="9" fontId="5" fillId="7" borderId="3" xfId="1030" applyFont="1" applyFill="1" applyBorder="1" applyAlignment="1" applyProtection="1">
      <alignment horizontal="center"/>
      <protection locked="0"/>
    </xf>
    <xf numFmtId="9" fontId="5" fillId="7" borderId="4" xfId="1030" applyFont="1" applyFill="1" applyBorder="1" applyAlignment="1" applyProtection="1">
      <alignment horizontal="center"/>
      <protection locked="0"/>
    </xf>
    <xf numFmtId="9" fontId="5" fillId="7" borderId="8" xfId="1030" applyFont="1" applyFill="1" applyBorder="1" applyAlignment="1" applyProtection="1">
      <alignment horizontal="center"/>
      <protection locked="0"/>
    </xf>
    <xf numFmtId="176" fontId="5" fillId="7" borderId="3" xfId="0" applyNumberFormat="1" applyFont="1" applyFill="1" applyBorder="1" applyProtection="1">
      <protection locked="0"/>
    </xf>
    <xf numFmtId="176" fontId="5" fillId="7" borderId="4" xfId="0" applyNumberFormat="1" applyFont="1" applyFill="1" applyBorder="1" applyProtection="1">
      <protection locked="0"/>
    </xf>
    <xf numFmtId="176" fontId="5" fillId="7" borderId="8" xfId="0" applyNumberFormat="1" applyFont="1" applyFill="1" applyBorder="1" applyProtection="1">
      <protection locked="0"/>
    </xf>
    <xf numFmtId="0" fontId="5" fillId="7" borderId="12" xfId="0"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5" fillId="7" borderId="12" xfId="0" applyNumberFormat="1" applyFont="1" applyFill="1" applyBorder="1" applyAlignment="1" applyProtection="1">
      <alignment horizontal="center"/>
      <protection locked="0"/>
    </xf>
    <xf numFmtId="176" fontId="14" fillId="0" borderId="3" xfId="546" applyNumberFormat="1" applyFont="1" applyBorder="1" applyAlignment="1">
      <alignment horizontal="center" vertical="center" wrapText="1"/>
    </xf>
    <xf numFmtId="176" fontId="14" fillId="0" borderId="4" xfId="546" applyNumberFormat="1" applyFont="1" applyBorder="1" applyAlignment="1">
      <alignment horizontal="center" vertical="center" wrapText="1"/>
    </xf>
    <xf numFmtId="176" fontId="14" fillId="0" borderId="8" xfId="546" applyNumberFormat="1" applyFont="1" applyBorder="1" applyAlignment="1">
      <alignment horizontal="center" vertical="center" wrapText="1"/>
    </xf>
    <xf numFmtId="3" fontId="37" fillId="4" borderId="0" xfId="546" applyNumberFormat="1" applyFont="1" applyFill="1" applyAlignment="1">
      <alignment horizontal="left" vertical="center" wrapText="1"/>
    </xf>
    <xf numFmtId="169" fontId="14" fillId="0" borderId="0" xfId="546" applyNumberFormat="1" applyFont="1" applyAlignment="1">
      <alignment horizontal="right" vertical="center" wrapText="1"/>
    </xf>
    <xf numFmtId="0" fontId="28" fillId="7" borderId="3" xfId="0" applyFont="1" applyFill="1" applyBorder="1" applyAlignment="1" applyProtection="1">
      <alignment horizontal="left"/>
      <protection locked="0"/>
    </xf>
    <xf numFmtId="0" fontId="28" fillId="7" borderId="4" xfId="0" applyFont="1" applyFill="1" applyBorder="1" applyAlignment="1" applyProtection="1">
      <alignment horizontal="left"/>
      <protection locked="0"/>
    </xf>
    <xf numFmtId="0" fontId="28" fillId="7" borderId="8" xfId="0" applyFont="1" applyFill="1" applyBorder="1" applyAlignment="1" applyProtection="1">
      <alignment horizontal="left"/>
      <protection locked="0"/>
    </xf>
    <xf numFmtId="0" fontId="25" fillId="0" borderId="2" xfId="0" applyFont="1" applyBorder="1" applyAlignment="1">
      <alignment horizontal="center"/>
    </xf>
    <xf numFmtId="167" fontId="14" fillId="7" borderId="5" xfId="0" applyNumberFormat="1" applyFont="1" applyFill="1" applyBorder="1" applyAlignment="1" applyProtection="1">
      <alignment horizontal="left"/>
      <protection locked="0"/>
    </xf>
    <xf numFmtId="0" fontId="14" fillId="0" borderId="5" xfId="0" applyFont="1" applyBorder="1" applyAlignment="1">
      <alignment horizontal="left" wrapText="1"/>
    </xf>
    <xf numFmtId="169" fontId="14" fillId="0" borderId="5" xfId="0" applyNumberFormat="1" applyFont="1" applyBorder="1" applyAlignment="1">
      <alignment horizontal="center"/>
    </xf>
    <xf numFmtId="0" fontId="14" fillId="7" borderId="5" xfId="0" applyFont="1" applyFill="1" applyBorder="1" applyAlignment="1" applyProtection="1">
      <alignment horizontal="left"/>
      <protection locked="0"/>
    </xf>
    <xf numFmtId="0" fontId="5" fillId="7" borderId="5" xfId="245" applyFont="1" applyFill="1" applyBorder="1" applyAlignment="1" applyProtection="1">
      <alignment horizontal="left"/>
      <protection locked="0"/>
    </xf>
    <xf numFmtId="0" fontId="0" fillId="7" borderId="5" xfId="0" applyFill="1" applyBorder="1" applyProtection="1">
      <protection locked="0"/>
    </xf>
    <xf numFmtId="0" fontId="5" fillId="7" borderId="5" xfId="0" applyFont="1" applyFill="1" applyBorder="1" applyAlignment="1" applyProtection="1">
      <alignment horizontal="left" wrapText="1"/>
      <protection locked="0"/>
    </xf>
    <xf numFmtId="0" fontId="13" fillId="51" borderId="5" xfId="0" applyFont="1" applyFill="1" applyBorder="1" applyAlignment="1" applyProtection="1">
      <alignment horizontal="left"/>
      <protection locked="0"/>
    </xf>
    <xf numFmtId="0" fontId="5" fillId="7" borderId="5" xfId="0" applyFont="1" applyFill="1" applyBorder="1" applyAlignment="1" applyProtection="1">
      <alignment horizontal="right"/>
      <protection locked="0"/>
    </xf>
    <xf numFmtId="0" fontId="14" fillId="7" borderId="5" xfId="0" applyFont="1" applyFill="1" applyBorder="1" applyAlignment="1" applyProtection="1">
      <alignment horizontal="right"/>
      <protection locked="0"/>
    </xf>
    <xf numFmtId="0" fontId="13" fillId="0" borderId="0" xfId="0" applyFont="1" applyAlignment="1">
      <alignment horizontal="center"/>
    </xf>
    <xf numFmtId="0" fontId="138" fillId="0" borderId="0" xfId="0" applyFont="1" applyAlignment="1" applyProtection="1">
      <alignment horizontal="left" vertical="top" wrapText="1"/>
      <protection locked="0"/>
    </xf>
    <xf numFmtId="0" fontId="12" fillId="0" borderId="12" xfId="0" applyFont="1" applyBorder="1" applyAlignment="1">
      <alignment horizontal="center" vertical="center" wrapText="1"/>
    </xf>
    <xf numFmtId="0" fontId="49" fillId="0" borderId="1"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11" xfId="0" applyFont="1" applyBorder="1" applyAlignment="1">
      <alignment horizontal="center" vertical="center" wrapText="1"/>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9" fillId="0" borderId="13" xfId="0" applyFont="1" applyBorder="1" applyAlignment="1">
      <alignment horizontal="center" vertical="center" wrapText="1"/>
    </xf>
    <xf numFmtId="0" fontId="49" fillId="0" borderId="9" xfId="0" applyFont="1" applyBorder="1" applyAlignment="1">
      <alignment horizontal="center" vertical="center" wrapText="1"/>
    </xf>
    <xf numFmtId="0" fontId="49" fillId="0" borderId="5" xfId="0" applyFont="1" applyBorder="1" applyAlignment="1">
      <alignment horizontal="center" vertical="center" wrapText="1"/>
    </xf>
    <xf numFmtId="0" fontId="49" fillId="0" borderId="10" xfId="0" applyFont="1" applyBorder="1" applyAlignment="1">
      <alignment horizontal="center" vertical="center" wrapText="1"/>
    </xf>
    <xf numFmtId="0" fontId="5" fillId="7" borderId="3" xfId="546" applyFill="1" applyBorder="1" applyAlignment="1" applyProtection="1">
      <alignment horizontal="left" vertical="top" wrapText="1"/>
      <protection locked="0"/>
    </xf>
    <xf numFmtId="0" fontId="5" fillId="7" borderId="4" xfId="546" applyFill="1" applyBorder="1" applyAlignment="1" applyProtection="1">
      <alignment horizontal="left" vertical="top" wrapText="1"/>
      <protection locked="0"/>
    </xf>
    <xf numFmtId="0" fontId="5" fillId="7" borderId="8" xfId="546" applyFill="1" applyBorder="1" applyAlignment="1" applyProtection="1">
      <alignment horizontal="left" vertical="top" wrapText="1"/>
      <protection locked="0"/>
    </xf>
    <xf numFmtId="1" fontId="5" fillId="0" borderId="3" xfId="546" applyNumberFormat="1" applyBorder="1" applyAlignment="1">
      <alignment horizontal="center"/>
    </xf>
    <xf numFmtId="1" fontId="5" fillId="0" borderId="4" xfId="546" applyNumberFormat="1" applyBorder="1" applyAlignment="1">
      <alignment horizontal="center"/>
    </xf>
    <xf numFmtId="1" fontId="5" fillId="0" borderId="8" xfId="546" applyNumberFormat="1" applyBorder="1" applyAlignment="1">
      <alignment horizontal="center"/>
    </xf>
    <xf numFmtId="0" fontId="24" fillId="0" borderId="3" xfId="546" applyFont="1" applyBorder="1" applyAlignment="1">
      <alignment horizontal="center"/>
    </xf>
    <xf numFmtId="0" fontId="24" fillId="0" borderId="4" xfId="546" applyFont="1" applyBorder="1" applyAlignment="1">
      <alignment horizontal="center"/>
    </xf>
    <xf numFmtId="0" fontId="24" fillId="0" borderId="8" xfId="546" applyFont="1" applyBorder="1" applyAlignment="1">
      <alignment horizontal="center"/>
    </xf>
    <xf numFmtId="0" fontId="25" fillId="7" borderId="3" xfId="0" applyFont="1" applyFill="1" applyBorder="1" applyAlignment="1" applyProtection="1">
      <alignment horizontal="left"/>
      <protection locked="0"/>
    </xf>
    <xf numFmtId="0" fontId="25" fillId="7" borderId="4" xfId="0" applyFont="1" applyFill="1" applyBorder="1" applyAlignment="1" applyProtection="1">
      <alignment horizontal="left"/>
      <protection locked="0"/>
    </xf>
    <xf numFmtId="0" fontId="25" fillId="7" borderId="8" xfId="0" applyFont="1" applyFill="1" applyBorder="1" applyAlignment="1" applyProtection="1">
      <alignment horizontal="left"/>
      <protection locked="0"/>
    </xf>
    <xf numFmtId="169" fontId="5"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5" fillId="0" borderId="7" xfId="546" applyBorder="1" applyAlignment="1">
      <alignment horizontal="left" vertical="center" wrapText="1"/>
    </xf>
    <xf numFmtId="0" fontId="5" fillId="0" borderId="0" xfId="546" applyAlignment="1">
      <alignment horizontal="left" vertical="center" wrapText="1"/>
    </xf>
    <xf numFmtId="0" fontId="5" fillId="0" borderId="13" xfId="546" applyBorder="1" applyAlignment="1">
      <alignment horizontal="left" vertical="center" wrapText="1"/>
    </xf>
    <xf numFmtId="0" fontId="5" fillId="0" borderId="9" xfId="546" applyBorder="1" applyAlignment="1">
      <alignment horizontal="left" vertical="center" wrapText="1"/>
    </xf>
    <xf numFmtId="0" fontId="5" fillId="0" borderId="5" xfId="546" applyBorder="1" applyAlignment="1">
      <alignment horizontal="left" vertical="center" wrapText="1"/>
    </xf>
    <xf numFmtId="0" fontId="5" fillId="0" borderId="10" xfId="546" applyBorder="1" applyAlignment="1">
      <alignment horizontal="left" vertical="center" wrapText="1"/>
    </xf>
    <xf numFmtId="0" fontId="12" fillId="0" borderId="0" xfId="0" applyFont="1" applyAlignment="1">
      <alignment horizontal="center" vertical="center"/>
    </xf>
    <xf numFmtId="0" fontId="12" fillId="0" borderId="9" xfId="0" applyFont="1" applyBorder="1" applyAlignment="1">
      <alignment horizontal="right"/>
    </xf>
    <xf numFmtId="0" fontId="12" fillId="0" borderId="5" xfId="0" applyFont="1" applyBorder="1" applyAlignment="1">
      <alignment horizontal="right"/>
    </xf>
    <xf numFmtId="0" fontId="12" fillId="0" borderId="10" xfId="0" applyFont="1" applyBorder="1" applyAlignment="1">
      <alignment horizontal="right"/>
    </xf>
    <xf numFmtId="0" fontId="12" fillId="0" borderId="1" xfId="546" applyFont="1" applyBorder="1" applyAlignment="1">
      <alignment horizontal="right"/>
    </xf>
    <xf numFmtId="0" fontId="12" fillId="0" borderId="2" xfId="546" applyFont="1" applyBorder="1" applyAlignment="1">
      <alignment horizontal="right"/>
    </xf>
    <xf numFmtId="0" fontId="12" fillId="0" borderId="11" xfId="546" applyFont="1" applyBorder="1" applyAlignment="1">
      <alignment horizontal="right"/>
    </xf>
    <xf numFmtId="0" fontId="14" fillId="0" borderId="4" xfId="0" applyFont="1" applyBorder="1" applyAlignment="1" applyProtection="1">
      <alignment horizontal="left"/>
      <protection locked="0"/>
    </xf>
    <xf numFmtId="0" fontId="5"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4" fillId="7" borderId="5" xfId="0" applyFont="1" applyFill="1" applyBorder="1" applyProtection="1">
      <protection locked="0"/>
    </xf>
    <xf numFmtId="0" fontId="14" fillId="7" borderId="5" xfId="0" applyFont="1" applyFill="1" applyBorder="1" applyAlignment="1" applyProtection="1">
      <alignment horizontal="left" wrapText="1"/>
      <protection locked="0"/>
    </xf>
    <xf numFmtId="0" fontId="6" fillId="0" borderId="0" xfId="245" applyFill="1" applyAlignment="1" applyProtection="1">
      <alignment horizontal="left"/>
      <protection locked="0"/>
    </xf>
    <xf numFmtId="169" fontId="0" fillId="0" borderId="5" xfId="0" applyNumberFormat="1" applyBorder="1" applyAlignment="1">
      <alignment horizontal="center"/>
    </xf>
    <xf numFmtId="175" fontId="0" fillId="7" borderId="4" xfId="0" applyNumberFormat="1" applyFill="1" applyBorder="1" applyAlignment="1" applyProtection="1">
      <alignment horizontal="left"/>
      <protection locked="0"/>
    </xf>
    <xf numFmtId="0" fontId="135" fillId="7" borderId="5" xfId="0" applyFont="1" applyFill="1" applyBorder="1" applyAlignment="1">
      <alignment horizontal="center"/>
    </xf>
    <xf numFmtId="0" fontId="14" fillId="7" borderId="5" xfId="273" applyFill="1" applyBorder="1" applyAlignment="1" applyProtection="1">
      <alignment horizontal="center"/>
      <protection locked="0"/>
    </xf>
    <xf numFmtId="169" fontId="14" fillId="7" borderId="5" xfId="273" applyNumberFormat="1" applyFill="1" applyBorder="1" applyAlignment="1" applyProtection="1">
      <alignment horizontal="right"/>
      <protection locked="0"/>
    </xf>
    <xf numFmtId="167" fontId="5" fillId="7"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3" fillId="7" borderId="5" xfId="0" applyNumberFormat="1" applyFont="1" applyFill="1" applyBorder="1" applyAlignment="1" applyProtection="1">
      <alignment horizontal="center"/>
      <protection locked="0"/>
    </xf>
    <xf numFmtId="9" fontId="13" fillId="0" borderId="12" xfId="0" applyNumberFormat="1" applyFont="1" applyBorder="1" applyAlignment="1">
      <alignment horizontal="center"/>
    </xf>
    <xf numFmtId="14" fontId="0" fillId="7" borderId="5" xfId="0" applyNumberFormat="1" applyFill="1" applyBorder="1" applyAlignment="1" applyProtection="1">
      <alignment horizontal="center"/>
      <protection locked="0"/>
    </xf>
    <xf numFmtId="0" fontId="5" fillId="7" borderId="0" xfId="0" applyFont="1" applyFill="1" applyAlignment="1" applyProtection="1">
      <alignment horizontal="left" vertical="top" wrapText="1"/>
      <protection locked="0"/>
    </xf>
    <xf numFmtId="0" fontId="14" fillId="0" borderId="5" xfId="0" applyFont="1" applyBorder="1" applyAlignment="1">
      <alignment horizontal="left"/>
    </xf>
    <xf numFmtId="0" fontId="0" fillId="0" borderId="5" xfId="0" applyBorder="1" applyAlignment="1">
      <alignment horizontal="center"/>
    </xf>
    <xf numFmtId="0" fontId="0" fillId="0" borderId="10" xfId="0" applyBorder="1" applyAlignment="1">
      <alignment horizontal="center"/>
    </xf>
    <xf numFmtId="172" fontId="5" fillId="0" borderId="0" xfId="546" applyNumberFormat="1" applyAlignment="1">
      <alignment horizontal="center"/>
    </xf>
    <xf numFmtId="0" fontId="12" fillId="0" borderId="63" xfId="0" applyFont="1" applyBorder="1" applyAlignment="1">
      <alignment horizontal="right"/>
    </xf>
    <xf numFmtId="0" fontId="12" fillId="0" borderId="14" xfId="0" applyFont="1" applyBorder="1" applyAlignment="1">
      <alignment horizontal="right"/>
    </xf>
    <xf numFmtId="0" fontId="12" fillId="0" borderId="64" xfId="0" applyFont="1" applyBorder="1" applyAlignment="1">
      <alignment horizontal="right"/>
    </xf>
    <xf numFmtId="0" fontId="5"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5" fillId="0" borderId="12" xfId="0" applyFont="1" applyBorder="1" applyAlignment="1">
      <alignment horizontal="center" vertical="top" wrapText="1"/>
    </xf>
    <xf numFmtId="0" fontId="12" fillId="0" borderId="12" xfId="0" applyFont="1" applyBorder="1" applyAlignment="1">
      <alignment horizontal="center"/>
    </xf>
    <xf numFmtId="1" fontId="5" fillId="0" borderId="3" xfId="0" applyNumberFormat="1" applyFont="1" applyBorder="1" applyAlignment="1">
      <alignment horizontal="center"/>
    </xf>
    <xf numFmtId="1" fontId="5" fillId="0" borderId="4" xfId="0" applyNumberFormat="1" applyFont="1" applyBorder="1" applyAlignment="1">
      <alignment horizontal="center"/>
    </xf>
    <xf numFmtId="1" fontId="5" fillId="0" borderId="8" xfId="0" applyNumberFormat="1" applyFont="1" applyBorder="1" applyAlignment="1">
      <alignment horizontal="center"/>
    </xf>
    <xf numFmtId="0" fontId="12" fillId="7" borderId="12" xfId="0" applyFont="1" applyFill="1" applyBorder="1" applyAlignment="1" applyProtection="1">
      <alignment horizontal="center"/>
      <protection locked="0"/>
    </xf>
    <xf numFmtId="0" fontId="5" fillId="7" borderId="3" xfId="766" applyFill="1" applyBorder="1" applyAlignment="1" applyProtection="1">
      <alignment horizontal="center"/>
      <protection locked="0"/>
    </xf>
    <xf numFmtId="173" fontId="12" fillId="0" borderId="2" xfId="0" applyNumberFormat="1" applyFont="1" applyBorder="1" applyAlignment="1">
      <alignment horizontal="center" vertical="center" wrapText="1"/>
    </xf>
    <xf numFmtId="173" fontId="12" fillId="0" borderId="11" xfId="0" applyNumberFormat="1" applyFont="1" applyBorder="1" applyAlignment="1">
      <alignment horizontal="center" vertical="center" wrapText="1"/>
    </xf>
    <xf numFmtId="173" fontId="12" fillId="0" borderId="0" xfId="0" applyNumberFormat="1" applyFont="1" applyAlignment="1">
      <alignment horizontal="center" vertical="center" wrapText="1"/>
    </xf>
    <xf numFmtId="173" fontId="12" fillId="0" borderId="13" xfId="0" applyNumberFormat="1" applyFont="1" applyBorder="1" applyAlignment="1">
      <alignment horizontal="center" vertical="center" wrapText="1"/>
    </xf>
    <xf numFmtId="173" fontId="12" fillId="0" borderId="5" xfId="0" applyNumberFormat="1" applyFont="1" applyBorder="1" applyAlignment="1">
      <alignment horizontal="center" vertical="center" wrapText="1"/>
    </xf>
    <xf numFmtId="173" fontId="12" fillId="0" borderId="10" xfId="0" applyNumberFormat="1" applyFont="1" applyBorder="1" applyAlignment="1">
      <alignment horizontal="center" vertical="center" wrapText="1"/>
    </xf>
    <xf numFmtId="0" fontId="5" fillId="0" borderId="12" xfId="0" applyFont="1" applyBorder="1" applyAlignment="1">
      <alignment horizont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Alignment="1">
      <alignment horizontal="center" vertical="center" wrapText="1"/>
    </xf>
    <xf numFmtId="0" fontId="22" fillId="0" borderId="13"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0" xfId="0" applyFont="1" applyBorder="1" applyAlignment="1">
      <alignment horizontal="center" vertical="center" wrapText="1"/>
    </xf>
    <xf numFmtId="169" fontId="0" fillId="0" borderId="12" xfId="0" applyNumberFormat="1" applyBorder="1"/>
    <xf numFmtId="5" fontId="13" fillId="51" borderId="12" xfId="164" applyNumberFormat="1" applyFont="1" applyFill="1" applyBorder="1" applyAlignment="1" applyProtection="1">
      <alignment horizontal="center" vertical="center" wrapText="1"/>
      <protection locked="0"/>
    </xf>
    <xf numFmtId="0" fontId="32" fillId="0" borderId="9" xfId="546" applyFont="1" applyBorder="1" applyAlignment="1">
      <alignment horizontal="center" vertical="center"/>
    </xf>
    <xf numFmtId="0" fontId="32" fillId="0" borderId="5" xfId="546" applyFont="1" applyBorder="1" applyAlignment="1">
      <alignment horizontal="center" vertical="center"/>
    </xf>
    <xf numFmtId="0" fontId="32" fillId="0" borderId="10" xfId="546" applyFont="1" applyBorder="1" applyAlignment="1">
      <alignment horizontal="center" vertical="center"/>
    </xf>
    <xf numFmtId="0" fontId="12" fillId="0" borderId="7" xfId="0" applyFont="1" applyBorder="1" applyAlignment="1">
      <alignment horizontal="center" wrapText="1"/>
    </xf>
    <xf numFmtId="0" fontId="12" fillId="0" borderId="0" xfId="0" applyFont="1" applyAlignment="1">
      <alignment horizontal="center" wrapText="1"/>
    </xf>
    <xf numFmtId="0" fontId="12" fillId="0" borderId="13" xfId="0" applyFont="1" applyBorder="1" applyAlignment="1">
      <alignment horizontal="center" wrapText="1"/>
    </xf>
    <xf numFmtId="0" fontId="12" fillId="0" borderId="9" xfId="0" applyFont="1" applyBorder="1" applyAlignment="1">
      <alignment horizontal="center" wrapText="1"/>
    </xf>
    <xf numFmtId="0" fontId="12" fillId="0" borderId="5" xfId="0" applyFont="1" applyBorder="1" applyAlignment="1">
      <alignment horizontal="center" wrapText="1"/>
    </xf>
    <xf numFmtId="0" fontId="12" fillId="0" borderId="10" xfId="0" applyFont="1" applyBorder="1" applyAlignment="1">
      <alignment horizontal="center" wrapText="1"/>
    </xf>
    <xf numFmtId="0" fontId="25" fillId="7" borderId="3" xfId="546" applyFont="1" applyFill="1" applyBorder="1" applyAlignment="1">
      <alignment horizontal="center"/>
    </xf>
    <xf numFmtId="0" fontId="25" fillId="7" borderId="4" xfId="546" applyFont="1" applyFill="1" applyBorder="1" applyAlignment="1">
      <alignment horizontal="center"/>
    </xf>
    <xf numFmtId="0" fontId="25" fillId="7" borderId="8" xfId="546" applyFont="1" applyFill="1" applyBorder="1" applyAlignment="1">
      <alignment horizontal="center"/>
    </xf>
    <xf numFmtId="49" fontId="5" fillId="7" borderId="3" xfId="546" applyNumberFormat="1" applyFill="1" applyBorder="1" applyAlignment="1">
      <alignment horizontal="center"/>
    </xf>
    <xf numFmtId="49" fontId="5"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5" fillId="7" borderId="3" xfId="0" applyFont="1" applyFill="1" applyBorder="1" applyAlignment="1" applyProtection="1">
      <alignment horizontal="right"/>
      <protection locked="0"/>
    </xf>
    <xf numFmtId="0" fontId="5" fillId="7" borderId="4" xfId="0" applyFont="1" applyFill="1" applyBorder="1" applyAlignment="1" applyProtection="1">
      <alignment horizontal="right"/>
      <protection locked="0"/>
    </xf>
    <xf numFmtId="0" fontId="5"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0" fontId="12" fillId="0" borderId="4" xfId="546" applyFont="1" applyBorder="1" applyAlignment="1">
      <alignment horizontal="right" vertical="top" wrapText="1"/>
    </xf>
    <xf numFmtId="0" fontId="12" fillId="0" borderId="8" xfId="546" applyFont="1" applyBorder="1" applyAlignment="1">
      <alignment horizontal="right" vertical="top" wrapText="1"/>
    </xf>
    <xf numFmtId="1" fontId="5" fillId="0" borderId="0" xfId="546" applyNumberFormat="1" applyAlignment="1">
      <alignment horizontal="center"/>
    </xf>
    <xf numFmtId="0" fontId="12" fillId="0" borderId="1" xfId="0" applyFont="1" applyBorder="1" applyAlignment="1">
      <alignment horizontal="center"/>
    </xf>
    <xf numFmtId="0" fontId="12" fillId="0" borderId="2" xfId="0" applyFont="1" applyBorder="1" applyAlignment="1">
      <alignment horizontal="center"/>
    </xf>
    <xf numFmtId="0" fontId="12" fillId="0" borderId="11" xfId="0" applyFont="1" applyBorder="1" applyAlignment="1">
      <alignment horizontal="center"/>
    </xf>
    <xf numFmtId="0" fontId="12" fillId="0" borderId="2" xfId="0" applyFont="1" applyBorder="1" applyAlignment="1">
      <alignment horizontal="center" wrapText="1"/>
    </xf>
    <xf numFmtId="0" fontId="12"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0" fillId="51" borderId="10" xfId="0" applyFill="1" applyBorder="1" applyAlignment="1" applyProtection="1">
      <alignment horizontal="left"/>
      <protection locked="0"/>
    </xf>
    <xf numFmtId="169" fontId="5" fillId="7" borderId="3" xfId="0" applyNumberFormat="1" applyFont="1" applyFill="1" applyBorder="1" applyAlignment="1" applyProtection="1">
      <alignment horizontal="left" vertical="top"/>
      <protection locked="0"/>
    </xf>
    <xf numFmtId="169" fontId="14" fillId="7" borderId="4" xfId="0" applyNumberFormat="1" applyFont="1" applyFill="1" applyBorder="1" applyAlignment="1" applyProtection="1">
      <alignment horizontal="left" vertical="top"/>
      <protection locked="0"/>
    </xf>
    <xf numFmtId="169" fontId="14" fillId="7" borderId="8" xfId="0" applyNumberFormat="1" applyFont="1" applyFill="1" applyBorder="1" applyAlignment="1" applyProtection="1">
      <alignment horizontal="left" vertical="top"/>
      <protection locked="0"/>
    </xf>
    <xf numFmtId="169" fontId="5" fillId="7" borderId="12" xfId="0" applyNumberFormat="1" applyFont="1" applyFill="1" applyBorder="1" applyAlignment="1" applyProtection="1">
      <alignment horizontal="right"/>
      <protection locked="0"/>
    </xf>
    <xf numFmtId="0" fontId="12"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1" fontId="5" fillId="7" borderId="5" xfId="0" applyNumberFormat="1" applyFont="1" applyFill="1" applyBorder="1" applyAlignment="1" applyProtection="1">
      <alignment horizontal="right"/>
      <protection locked="0"/>
    </xf>
    <xf numFmtId="14" fontId="5" fillId="7" borderId="4" xfId="0" applyNumberFormat="1" applyFont="1" applyFill="1" applyBorder="1" applyAlignment="1" applyProtection="1">
      <alignment horizontal="right"/>
      <protection locked="0"/>
    </xf>
    <xf numFmtId="0" fontId="5" fillId="51" borderId="4" xfId="0" applyFont="1" applyFill="1" applyBorder="1" applyAlignment="1" applyProtection="1">
      <alignment horizontal="left" wrapText="1"/>
      <protection locked="0"/>
    </xf>
    <xf numFmtId="169" fontId="12" fillId="0" borderId="3" xfId="546" applyNumberFormat="1" applyFont="1" applyBorder="1" applyAlignment="1">
      <alignment horizontal="center" vertical="center"/>
    </xf>
    <xf numFmtId="169" fontId="12" fillId="0" borderId="4" xfId="546" applyNumberFormat="1" applyFont="1" applyBorder="1" applyAlignment="1">
      <alignment horizontal="center" vertical="center"/>
    </xf>
    <xf numFmtId="169" fontId="12" fillId="0" borderId="8" xfId="546" applyNumberFormat="1" applyFont="1" applyBorder="1" applyAlignment="1">
      <alignment horizontal="center" vertical="center"/>
    </xf>
    <xf numFmtId="0" fontId="0" fillId="0" borderId="0" xfId="0" applyAlignment="1">
      <alignment horizontal="center"/>
    </xf>
    <xf numFmtId="0" fontId="0" fillId="0" borderId="13" xfId="0" applyBorder="1" applyAlignment="1">
      <alignment horizontal="center"/>
    </xf>
    <xf numFmtId="0" fontId="5" fillId="7" borderId="12" xfId="0" applyFont="1" applyFill="1" applyBorder="1" applyAlignment="1" applyProtection="1">
      <alignment horizontal="center"/>
      <protection locked="0"/>
    </xf>
    <xf numFmtId="0" fontId="14" fillId="7" borderId="0" xfId="0" applyFont="1" applyFill="1" applyAlignment="1" applyProtection="1">
      <alignment horizontal="left" vertical="top" wrapText="1"/>
      <protection locked="0"/>
    </xf>
    <xf numFmtId="0" fontId="14" fillId="7" borderId="5" xfId="0" applyFont="1" applyFill="1" applyBorder="1" applyAlignment="1" applyProtection="1">
      <alignment horizontal="left" vertical="top" wrapText="1"/>
      <protection locked="0"/>
    </xf>
    <xf numFmtId="179" fontId="5" fillId="7" borderId="4" xfId="0" applyNumberFormat="1" applyFont="1" applyFill="1" applyBorder="1" applyAlignment="1" applyProtection="1">
      <alignment horizontal="right"/>
      <protection locked="0"/>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45" fillId="0" borderId="0" xfId="0" applyFont="1" applyAlignment="1">
      <alignment horizontal="center" vertical="center"/>
    </xf>
    <xf numFmtId="0" fontId="23"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vertical="top"/>
    </xf>
    <xf numFmtId="0" fontId="0" fillId="0" borderId="0" xfId="0" applyAlignment="1">
      <alignment vertical="top" wrapText="1"/>
    </xf>
    <xf numFmtId="0" fontId="5" fillId="0" borderId="0" xfId="546" applyAlignment="1">
      <alignment wrapText="1"/>
    </xf>
    <xf numFmtId="0" fontId="14" fillId="0" borderId="0" xfId="0" applyFont="1" applyAlignment="1">
      <alignment vertical="top" wrapText="1"/>
    </xf>
    <xf numFmtId="0" fontId="14" fillId="0" borderId="2" xfId="0" applyFont="1" applyBorder="1" applyAlignment="1">
      <alignment horizontal="left" vertical="top" wrapText="1"/>
    </xf>
    <xf numFmtId="178" fontId="14" fillId="7" borderId="5" xfId="0" applyNumberFormat="1" applyFont="1" applyFill="1" applyBorder="1" applyAlignment="1" applyProtection="1">
      <alignment horizontal="left" vertical="top" wrapText="1"/>
      <protection locked="0"/>
    </xf>
    <xf numFmtId="0" fontId="49" fillId="0" borderId="0" xfId="0" applyFont="1" applyAlignment="1">
      <alignment vertical="top" wrapText="1"/>
    </xf>
    <xf numFmtId="0" fontId="14" fillId="0" borderId="5" xfId="0" applyFont="1" applyBorder="1" applyAlignment="1">
      <alignment horizontal="right" vertical="top" wrapText="1"/>
    </xf>
    <xf numFmtId="0" fontId="14" fillId="0" borderId="5" xfId="0" applyFont="1" applyBorder="1" applyAlignment="1">
      <alignment vertical="top" wrapText="1"/>
    </xf>
    <xf numFmtId="0" fontId="53" fillId="2" borderId="3" xfId="0" applyFont="1" applyFill="1" applyBorder="1" applyAlignment="1">
      <alignment horizontal="center" vertical="top"/>
    </xf>
    <xf numFmtId="0" fontId="53" fillId="2" borderId="4" xfId="0" applyFont="1" applyFill="1" applyBorder="1" applyAlignment="1">
      <alignment horizontal="center" vertical="top"/>
    </xf>
    <xf numFmtId="0" fontId="53" fillId="2" borderId="8" xfId="0" applyFont="1" applyFill="1" applyBorder="1" applyAlignment="1">
      <alignment horizontal="center" vertical="top"/>
    </xf>
    <xf numFmtId="0" fontId="14" fillId="0" borderId="2" xfId="0" applyFont="1" applyBorder="1" applyAlignment="1">
      <alignment vertical="top" wrapText="1"/>
    </xf>
    <xf numFmtId="0" fontId="28" fillId="0" borderId="0" xfId="0" applyFont="1" applyAlignment="1">
      <alignment vertical="top" wrapText="1"/>
    </xf>
    <xf numFmtId="0" fontId="13" fillId="7" borderId="4" xfId="0" applyFont="1" applyFill="1" applyBorder="1" applyAlignment="1" applyProtection="1">
      <alignment horizontal="left"/>
      <protection locked="0"/>
    </xf>
    <xf numFmtId="0" fontId="13" fillId="7" borderId="8" xfId="0" applyFont="1" applyFill="1" applyBorder="1" applyAlignment="1" applyProtection="1">
      <alignment horizontal="left"/>
      <protection locked="0"/>
    </xf>
    <xf numFmtId="0" fontId="13" fillId="0" borderId="3" xfId="0" applyFont="1" applyBorder="1" applyAlignment="1">
      <alignment horizontal="right"/>
    </xf>
    <xf numFmtId="0" fontId="13" fillId="0" borderId="4" xfId="0" applyFont="1" applyBorder="1" applyAlignment="1">
      <alignment horizontal="right"/>
    </xf>
    <xf numFmtId="0" fontId="13" fillId="0" borderId="8" xfId="0" applyFont="1" applyBorder="1" applyAlignment="1">
      <alignment horizontal="right"/>
    </xf>
    <xf numFmtId="0" fontId="25" fillId="0" borderId="3" xfId="0" applyFont="1" applyBorder="1" applyAlignment="1">
      <alignment horizontal="right"/>
    </xf>
    <xf numFmtId="0" fontId="25" fillId="0" borderId="4" xfId="0" applyFont="1" applyBorder="1" applyAlignment="1">
      <alignment horizontal="right"/>
    </xf>
    <xf numFmtId="0" fontId="25"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5"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2" fillId="0" borderId="12" xfId="0" applyFont="1" applyBorder="1" applyAlignment="1">
      <alignment horizontal="center" wrapText="1"/>
    </xf>
    <xf numFmtId="169" fontId="0" fillId="0" borderId="18" xfId="0" applyNumberFormat="1" applyBorder="1" applyAlignment="1">
      <alignment horizontal="center"/>
    </xf>
    <xf numFmtId="0" fontId="12" fillId="0" borderId="3" xfId="0" applyFont="1" applyBorder="1" applyAlignment="1">
      <alignment horizontal="left"/>
    </xf>
    <xf numFmtId="0" fontId="12" fillId="0" borderId="8" xfId="0" applyFont="1" applyBorder="1" applyAlignment="1">
      <alignment horizontal="left"/>
    </xf>
    <xf numFmtId="0" fontId="13" fillId="0" borderId="4" xfId="0" applyFont="1" applyBorder="1" applyAlignment="1">
      <alignment horizontal="left"/>
    </xf>
    <xf numFmtId="0" fontId="25" fillId="0" borderId="4" xfId="0" applyFont="1" applyBorder="1" applyAlignment="1">
      <alignment horizontal="left"/>
    </xf>
    <xf numFmtId="0" fontId="25" fillId="0" borderId="8" xfId="0" applyFont="1" applyBorder="1" applyAlignment="1">
      <alignment horizontal="left"/>
    </xf>
    <xf numFmtId="0" fontId="13"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5" borderId="2" xfId="0" applyFont="1" applyFill="1" applyBorder="1" applyAlignment="1">
      <alignment horizontal="center" vertical="center" wrapText="1"/>
    </xf>
    <xf numFmtId="0" fontId="11" fillId="5" borderId="2" xfId="0" applyFont="1" applyFill="1" applyBorder="1" applyAlignment="1">
      <alignment horizontal="center" vertical="center"/>
    </xf>
    <xf numFmtId="0" fontId="11" fillId="5" borderId="6" xfId="0" applyFont="1" applyFill="1" applyBorder="1" applyAlignment="1">
      <alignment horizontal="center" vertical="center"/>
    </xf>
    <xf numFmtId="169" fontId="5"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6" fillId="0" borderId="0" xfId="0" applyFont="1" applyAlignment="1">
      <alignment horizontal="left" vertical="top" wrapText="1"/>
    </xf>
    <xf numFmtId="0" fontId="28" fillId="0" borderId="2" xfId="0" applyFont="1" applyBorder="1" applyAlignment="1">
      <alignment horizontal="left" vertical="top"/>
    </xf>
    <xf numFmtId="0" fontId="76" fillId="0" borderId="0" xfId="0" applyFont="1" applyAlignment="1">
      <alignment horizontal="left" wrapText="1"/>
    </xf>
    <xf numFmtId="0" fontId="13" fillId="0" borderId="2" xfId="0" applyFont="1" applyBorder="1" applyAlignment="1">
      <alignment horizontal="left"/>
    </xf>
    <xf numFmtId="0" fontId="13" fillId="0" borderId="0" xfId="0" applyFont="1" applyAlignment="1">
      <alignment horizontal="left"/>
    </xf>
    <xf numFmtId="0" fontId="12" fillId="0" borderId="6" xfId="0" applyFont="1" applyBorder="1" applyAlignment="1">
      <alignment horizontal="center" wrapText="1"/>
    </xf>
    <xf numFmtId="0" fontId="28" fillId="0" borderId="0" xfId="0" applyFont="1" applyAlignment="1">
      <alignment horizontal="left" vertical="center" wrapText="1"/>
    </xf>
    <xf numFmtId="10" fontId="0" fillId="0" borderId="12" xfId="0" applyNumberFormat="1" applyBorder="1" applyAlignment="1">
      <alignment horizontal="center"/>
    </xf>
    <xf numFmtId="0" fontId="11" fillId="5" borderId="3" xfId="0" applyFont="1" applyFill="1" applyBorder="1" applyAlignment="1">
      <alignment horizontal="left" vertical="top"/>
    </xf>
    <xf numFmtId="0" fontId="11" fillId="5" borderId="4" xfId="0" applyFont="1" applyFill="1" applyBorder="1" applyAlignment="1">
      <alignment horizontal="left" vertical="top"/>
    </xf>
    <xf numFmtId="0" fontId="11" fillId="5" borderId="8" xfId="0" applyFont="1" applyFill="1" applyBorder="1" applyAlignment="1">
      <alignment horizontal="left" vertical="top"/>
    </xf>
    <xf numFmtId="166" fontId="12" fillId="0" borderId="12" xfId="0" applyNumberFormat="1" applyFont="1" applyBorder="1" applyAlignment="1">
      <alignment horizontal="center"/>
    </xf>
    <xf numFmtId="1" fontId="12"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1" fontId="14" fillId="0" borderId="12" xfId="0" applyNumberFormat="1" applyFont="1" applyBorder="1" applyAlignment="1">
      <alignment horizontal="center"/>
    </xf>
    <xf numFmtId="0" fontId="50" fillId="0" borderId="4" xfId="0" applyFont="1" applyBorder="1" applyAlignment="1">
      <alignment horizontal="left"/>
    </xf>
    <xf numFmtId="0" fontId="50" fillId="0" borderId="8" xfId="0" applyFont="1" applyBorder="1" applyAlignment="1">
      <alignment horizontal="left"/>
    </xf>
    <xf numFmtId="0" fontId="14" fillId="0" borderId="12" xfId="0" applyFont="1" applyBorder="1" applyAlignment="1">
      <alignment horizontal="center"/>
    </xf>
    <xf numFmtId="0" fontId="13" fillId="0" borderId="0" xfId="0" applyFont="1" applyAlignment="1">
      <alignment horizontal="left" vertical="top"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0" fillId="7" borderId="4" xfId="0" applyFill="1" applyBorder="1" applyAlignment="1" applyProtection="1">
      <alignment horizontal="left" wrapText="1"/>
      <protection locked="0"/>
    </xf>
    <xf numFmtId="9" fontId="22" fillId="0" borderId="12" xfId="0" applyNumberFormat="1" applyFont="1" applyBorder="1" applyAlignment="1">
      <alignment horizontal="center"/>
    </xf>
    <xf numFmtId="0" fontId="22" fillId="0" borderId="3" xfId="0" applyFont="1" applyBorder="1" applyAlignment="1">
      <alignment horizontal="center"/>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0" xfId="0" applyFont="1" applyAlignment="1">
      <alignment horizontal="center" vertical="center" wrapText="1"/>
    </xf>
    <xf numFmtId="0" fontId="35" fillId="0" borderId="13" xfId="0" applyFont="1" applyBorder="1" applyAlignment="1">
      <alignment horizontal="center" vertical="center" wrapText="1"/>
    </xf>
    <xf numFmtId="9" fontId="22" fillId="0" borderId="17" xfId="0" applyNumberFormat="1" applyFont="1" applyBorder="1" applyAlignment="1">
      <alignment horizontal="center"/>
    </xf>
    <xf numFmtId="0" fontId="22" fillId="0" borderId="17" xfId="0" applyFont="1" applyBorder="1" applyAlignment="1">
      <alignment horizontal="center"/>
    </xf>
    <xf numFmtId="166" fontId="13" fillId="0" borderId="12" xfId="0" applyNumberFormat="1" applyFont="1" applyBorder="1" applyAlignment="1">
      <alignment horizontal="center"/>
    </xf>
    <xf numFmtId="164" fontId="13" fillId="0" borderId="0" xfId="0" applyNumberFormat="1" applyFont="1" applyAlignment="1">
      <alignment horizontal="left" vertical="top" wrapText="1"/>
    </xf>
    <xf numFmtId="1" fontId="13" fillId="0" borderId="12" xfId="0" applyNumberFormat="1" applyFont="1" applyBorder="1" applyAlignment="1">
      <alignment horizontal="center"/>
    </xf>
    <xf numFmtId="1" fontId="13" fillId="0" borderId="20" xfId="0" applyNumberFormat="1" applyFont="1" applyBorder="1" applyAlignment="1">
      <alignment horizontal="center"/>
    </xf>
    <xf numFmtId="166" fontId="13" fillId="0" borderId="8" xfId="0" applyNumberFormat="1" applyFont="1" applyBorder="1" applyAlignment="1">
      <alignment horizontal="center"/>
    </xf>
    <xf numFmtId="166" fontId="13" fillId="0" borderId="24" xfId="0" applyNumberFormat="1" applyFont="1" applyBorder="1" applyAlignment="1">
      <alignment horizontal="center"/>
    </xf>
    <xf numFmtId="1" fontId="13" fillId="0" borderId="25" xfId="0" applyNumberFormat="1" applyFont="1" applyBorder="1" applyAlignment="1">
      <alignment horizontal="center"/>
    </xf>
    <xf numFmtId="1" fontId="13" fillId="0" borderId="30" xfId="0" applyNumberFormat="1" applyFont="1" applyBorder="1" applyAlignment="1">
      <alignment horizontal="center"/>
    </xf>
    <xf numFmtId="0" fontId="22" fillId="0" borderId="12" xfId="0" applyFont="1" applyBorder="1" applyAlignment="1">
      <alignment horizontal="center" vertical="center" wrapText="1"/>
    </xf>
    <xf numFmtId="1" fontId="13" fillId="0" borderId="15" xfId="0" applyNumberFormat="1" applyFont="1" applyBorder="1" applyAlignment="1">
      <alignment horizontal="center"/>
    </xf>
    <xf numFmtId="0" fontId="13" fillId="7" borderId="53" xfId="0" applyFont="1" applyFill="1" applyBorder="1" applyAlignment="1" applyProtection="1">
      <alignment horizontal="left" vertical="top" wrapText="1"/>
      <protection locked="0"/>
    </xf>
    <xf numFmtId="9" fontId="13" fillId="7" borderId="5" xfId="0" applyNumberFormat="1" applyFont="1" applyFill="1" applyBorder="1" applyAlignment="1" applyProtection="1">
      <alignment horizontal="left"/>
      <protection locked="0"/>
    </xf>
    <xf numFmtId="0" fontId="12" fillId="0" borderId="0" xfId="0" applyFont="1" applyAlignment="1">
      <alignment horizontal="center" vertical="top"/>
    </xf>
    <xf numFmtId="0" fontId="28" fillId="0" borderId="47" xfId="0" applyFont="1" applyBorder="1" applyAlignment="1">
      <alignment horizontal="left" wrapText="1"/>
    </xf>
    <xf numFmtId="0" fontId="28" fillId="0" borderId="0" xfId="0" applyFont="1" applyAlignment="1">
      <alignment horizontal="left" wrapText="1"/>
    </xf>
    <xf numFmtId="1" fontId="13" fillId="46" borderId="15" xfId="0" applyNumberFormat="1" applyFont="1" applyFill="1" applyBorder="1" applyAlignment="1">
      <alignment horizontal="center"/>
    </xf>
    <xf numFmtId="0" fontId="22" fillId="46" borderId="17" xfId="0" applyFont="1" applyFill="1" applyBorder="1" applyAlignment="1">
      <alignment horizontal="center"/>
    </xf>
    <xf numFmtId="1" fontId="39" fillId="0" borderId="3" xfId="0" quotePrefix="1" applyNumberFormat="1" applyFont="1" applyBorder="1" applyAlignment="1">
      <alignment horizontal="center" wrapText="1"/>
    </xf>
    <xf numFmtId="1" fontId="39" fillId="0" borderId="4" xfId="0" quotePrefix="1" applyNumberFormat="1" applyFont="1" applyBorder="1" applyAlignment="1">
      <alignment horizontal="center" wrapText="1"/>
    </xf>
    <xf numFmtId="1" fontId="39" fillId="0" borderId="8" xfId="0" quotePrefix="1" applyNumberFormat="1" applyFont="1" applyBorder="1" applyAlignment="1">
      <alignment horizontal="center" wrapText="1"/>
    </xf>
    <xf numFmtId="0" fontId="22" fillId="0" borderId="3" xfId="0" applyFont="1" applyBorder="1" applyAlignment="1">
      <alignment horizontal="center" wrapText="1"/>
    </xf>
    <xf numFmtId="0" fontId="22" fillId="0" borderId="4" xfId="0" applyFont="1" applyBorder="1" applyAlignment="1">
      <alignment horizontal="center" wrapText="1"/>
    </xf>
    <xf numFmtId="0" fontId="22" fillId="0" borderId="8" xfId="0"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51" xfId="0" applyFill="1" applyBorder="1" applyAlignment="1" applyProtection="1">
      <alignment horizontal="center"/>
      <protection locked="0"/>
    </xf>
    <xf numFmtId="0" fontId="13" fillId="0" borderId="47" xfId="0" applyFont="1" applyBorder="1" applyAlignment="1">
      <alignment horizontal="left" vertical="top" wrapText="1"/>
    </xf>
    <xf numFmtId="0" fontId="13" fillId="0" borderId="53" xfId="0" applyFont="1" applyBorder="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2" fillId="0" borderId="47" xfId="0" applyFont="1" applyBorder="1" applyAlignment="1">
      <alignment horizontal="center" vertical="top"/>
    </xf>
    <xf numFmtId="0" fontId="12" fillId="0" borderId="48" xfId="0" applyFont="1" applyBorder="1" applyAlignment="1">
      <alignment horizontal="center" vertical="top"/>
    </xf>
    <xf numFmtId="0" fontId="12" fillId="0" borderId="0" xfId="0" applyFont="1" applyAlignment="1">
      <alignment horizontal="right"/>
    </xf>
    <xf numFmtId="0" fontId="55" fillId="0" borderId="0" xfId="0" applyFont="1" applyAlignment="1">
      <alignment horizontal="left" vertical="top" wrapText="1"/>
    </xf>
    <xf numFmtId="0" fontId="12" fillId="0" borderId="50" xfId="0" applyFont="1" applyBorder="1" applyAlignment="1">
      <alignment horizontal="center" vertical="top"/>
    </xf>
    <xf numFmtId="0" fontId="12" fillId="0" borderId="50" xfId="0" applyFont="1" applyBorder="1" applyAlignment="1">
      <alignment horizontal="center"/>
    </xf>
    <xf numFmtId="0" fontId="22" fillId="48" borderId="2" xfId="0" applyFont="1" applyFill="1" applyBorder="1" applyAlignment="1">
      <alignment horizontal="center"/>
    </xf>
    <xf numFmtId="0" fontId="22" fillId="48" borderId="5" xfId="0" applyFont="1" applyFill="1" applyBorder="1" applyAlignment="1">
      <alignment horizontal="center"/>
    </xf>
    <xf numFmtId="0" fontId="28" fillId="0" borderId="47" xfId="0" applyFont="1" applyBorder="1" applyAlignment="1">
      <alignment horizontal="left" vertical="top" wrapText="1"/>
    </xf>
    <xf numFmtId="0" fontId="28" fillId="0" borderId="0" xfId="0" applyFont="1" applyAlignment="1">
      <alignment horizontal="left" vertical="top" wrapText="1"/>
    </xf>
    <xf numFmtId="0" fontId="13" fillId="7" borderId="0" xfId="0" applyFont="1" applyFill="1" applyAlignment="1" applyProtection="1">
      <alignment horizontal="left" vertical="top"/>
      <protection locked="0"/>
    </xf>
    <xf numFmtId="0" fontId="0" fillId="2" borderId="3" xfId="0" applyFill="1" applyBorder="1" applyAlignment="1">
      <alignment horizontal="center"/>
    </xf>
    <xf numFmtId="0" fontId="0" fillId="2" borderId="8" xfId="0" applyFill="1" applyBorder="1" applyAlignment="1">
      <alignment horizontal="center"/>
    </xf>
    <xf numFmtId="0" fontId="13" fillId="7" borderId="53" xfId="0" applyFont="1" applyFill="1" applyBorder="1" applyAlignment="1" applyProtection="1">
      <alignment horizontal="left"/>
      <protection locked="0"/>
    </xf>
    <xf numFmtId="9" fontId="13" fillId="7" borderId="53" xfId="0" applyNumberFormat="1" applyFont="1" applyFill="1" applyBorder="1" applyAlignment="1" applyProtection="1">
      <alignment horizontal="left"/>
      <protection locked="0"/>
    </xf>
    <xf numFmtId="0" fontId="0" fillId="2" borderId="4"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 fillId="48" borderId="12" xfId="0" applyFont="1" applyFill="1" applyBorder="1" applyAlignment="1">
      <alignment horizontal="center"/>
    </xf>
    <xf numFmtId="0" fontId="13" fillId="0" borderId="47" xfId="574" applyFont="1" applyBorder="1" applyAlignment="1">
      <alignment horizontal="left" vertical="top" wrapText="1"/>
    </xf>
    <xf numFmtId="0" fontId="13" fillId="0" borderId="0" xfId="574" applyFont="1" applyAlignment="1">
      <alignment horizontal="left" vertical="top" wrapText="1"/>
    </xf>
    <xf numFmtId="0" fontId="13" fillId="7" borderId="5" xfId="0" applyFont="1" applyFill="1" applyBorder="1" applyAlignment="1" applyProtection="1">
      <alignment horizontal="center" vertical="center" wrapText="1" shrinkToFit="1"/>
      <protection locked="0"/>
    </xf>
    <xf numFmtId="0" fontId="13" fillId="0" borderId="3" xfId="0" quotePrefix="1" applyFont="1" applyBorder="1" applyAlignment="1">
      <alignment horizontal="center" wrapText="1"/>
    </xf>
    <xf numFmtId="0" fontId="13" fillId="0" borderId="4" xfId="0" quotePrefix="1" applyFont="1" applyBorder="1" applyAlignment="1">
      <alignment horizontal="center" wrapText="1"/>
    </xf>
    <xf numFmtId="0" fontId="13" fillId="0" borderId="8" xfId="0" quotePrefix="1" applyFont="1" applyBorder="1" applyAlignment="1">
      <alignment horizontal="center" wrapText="1"/>
    </xf>
    <xf numFmtId="2" fontId="13" fillId="0" borderId="3" xfId="0" applyNumberFormat="1" applyFont="1" applyBorder="1" applyAlignment="1">
      <alignment horizontal="center"/>
    </xf>
    <xf numFmtId="2" fontId="13" fillId="0" borderId="4" xfId="0" applyNumberFormat="1" applyFont="1" applyBorder="1" applyAlignment="1">
      <alignment horizontal="center"/>
    </xf>
    <xf numFmtId="2" fontId="13" fillId="0" borderId="8" xfId="0" applyNumberFormat="1" applyFont="1" applyBorder="1" applyAlignment="1">
      <alignment horizontal="center"/>
    </xf>
    <xf numFmtId="166" fontId="13" fillId="46" borderId="12" xfId="0" applyNumberFormat="1" applyFont="1" applyFill="1" applyBorder="1" applyAlignment="1">
      <alignment horizontal="center"/>
    </xf>
    <xf numFmtId="10" fontId="13" fillId="0" borderId="3" xfId="573" applyNumberFormat="1" applyFont="1" applyFill="1" applyBorder="1" applyAlignment="1" applyProtection="1">
      <alignment horizontal="center"/>
    </xf>
    <xf numFmtId="10" fontId="13" fillId="0" borderId="4" xfId="573" applyNumberFormat="1" applyFont="1" applyFill="1" applyBorder="1" applyAlignment="1" applyProtection="1">
      <alignment horizontal="center"/>
    </xf>
    <xf numFmtId="10" fontId="13" fillId="0" borderId="8" xfId="573" applyNumberFormat="1" applyFont="1" applyFill="1" applyBorder="1" applyAlignment="1" applyProtection="1">
      <alignment horizontal="center"/>
    </xf>
    <xf numFmtId="0" fontId="12" fillId="11" borderId="4" xfId="0" applyFont="1" applyFill="1" applyBorder="1" applyAlignment="1">
      <alignment horizontal="center"/>
    </xf>
    <xf numFmtId="0" fontId="37" fillId="0" borderId="3" xfId="0" applyFont="1" applyBorder="1" applyAlignment="1">
      <alignment horizontal="center"/>
    </xf>
    <xf numFmtId="0" fontId="37" fillId="0" borderId="8" xfId="0" applyFont="1" applyBorder="1" applyAlignment="1">
      <alignment horizontal="center"/>
    </xf>
    <xf numFmtId="0" fontId="12" fillId="0" borderId="9" xfId="0" applyFont="1" applyBorder="1" applyAlignment="1">
      <alignment horizontal="center"/>
    </xf>
    <xf numFmtId="0" fontId="12" fillId="0" borderId="10" xfId="0" applyFont="1" applyBorder="1" applyAlignment="1">
      <alignment horizontal="center"/>
    </xf>
    <xf numFmtId="1" fontId="14" fillId="11" borderId="3" xfId="0" applyNumberFormat="1" applyFont="1" applyFill="1" applyBorder="1" applyAlignment="1">
      <alignment horizontal="center" vertical="center"/>
    </xf>
    <xf numFmtId="1" fontId="14" fillId="11" borderId="8" xfId="0" applyNumberFormat="1" applyFont="1" applyFill="1" applyBorder="1" applyAlignment="1">
      <alignment horizontal="center" vertical="center"/>
    </xf>
    <xf numFmtId="0" fontId="22" fillId="0" borderId="7" xfId="0" applyFont="1" applyBorder="1" applyAlignment="1">
      <alignment horizontal="center" wrapText="1"/>
    </xf>
    <xf numFmtId="0" fontId="22" fillId="0" borderId="0" xfId="0" applyFont="1" applyAlignment="1">
      <alignment horizontal="center" wrapText="1"/>
    </xf>
    <xf numFmtId="0" fontId="22" fillId="10" borderId="7" xfId="0" applyFont="1" applyFill="1" applyBorder="1" applyAlignment="1">
      <alignment horizontal="center" wrapText="1"/>
    </xf>
    <xf numFmtId="0" fontId="22" fillId="10" borderId="0" xfId="0" applyFont="1" applyFill="1" applyAlignment="1">
      <alignment horizontal="center" wrapText="1"/>
    </xf>
    <xf numFmtId="0" fontId="12" fillId="4" borderId="3" xfId="0" applyFont="1" applyFill="1" applyBorder="1" applyAlignment="1">
      <alignment horizontal="center" wrapText="1"/>
    </xf>
    <xf numFmtId="0" fontId="12" fillId="4" borderId="4" xfId="0" applyFont="1" applyFill="1" applyBorder="1" applyAlignment="1">
      <alignment horizontal="center" wrapText="1"/>
    </xf>
    <xf numFmtId="0" fontId="12" fillId="4" borderId="8" xfId="0" applyFont="1" applyFill="1" applyBorder="1" applyAlignment="1">
      <alignment horizontal="center" wrapText="1"/>
    </xf>
    <xf numFmtId="0" fontId="12" fillId="0" borderId="1" xfId="0" applyFont="1" applyBorder="1" applyAlignment="1">
      <alignment horizontal="right" vertical="center" wrapText="1"/>
    </xf>
    <xf numFmtId="0" fontId="12" fillId="0" borderId="2" xfId="0" applyFont="1" applyBorder="1" applyAlignment="1">
      <alignment horizontal="right" vertical="center" wrapText="1"/>
    </xf>
    <xf numFmtId="0" fontId="12" fillId="0" borderId="11" xfId="0" applyFont="1" applyBorder="1" applyAlignment="1">
      <alignment horizontal="right" vertical="center" wrapText="1"/>
    </xf>
    <xf numFmtId="0" fontId="12" fillId="0" borderId="9" xfId="0" applyFont="1" applyBorder="1" applyAlignment="1">
      <alignment horizontal="right" vertical="center" wrapText="1"/>
    </xf>
    <xf numFmtId="0" fontId="12" fillId="0" borderId="5" xfId="0" applyFont="1" applyBorder="1" applyAlignment="1">
      <alignment horizontal="right" vertical="center" wrapText="1"/>
    </xf>
    <xf numFmtId="0" fontId="12" fillId="0" borderId="10" xfId="0" applyFont="1" applyBorder="1" applyAlignment="1">
      <alignment horizontal="right" vertical="center" wrapText="1"/>
    </xf>
    <xf numFmtId="0" fontId="37" fillId="2" borderId="3" xfId="0" applyFont="1" applyFill="1" applyBorder="1" applyAlignment="1">
      <alignment horizontal="center"/>
    </xf>
    <xf numFmtId="0" fontId="37" fillId="2" borderId="8" xfId="0" applyFont="1" applyFill="1" applyBorder="1" applyAlignment="1">
      <alignment horizontal="center"/>
    </xf>
    <xf numFmtId="166" fontId="13" fillId="0" borderId="21"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4" fillId="0" borderId="3" xfId="0" applyNumberFormat="1" applyFont="1" applyBorder="1" applyAlignment="1">
      <alignment horizontal="center"/>
    </xf>
    <xf numFmtId="1" fontId="14" fillId="0" borderId="4" xfId="0" applyNumberFormat="1" applyFont="1" applyBorder="1" applyAlignment="1">
      <alignment horizontal="center"/>
    </xf>
    <xf numFmtId="1" fontId="14" fillId="0" borderId="8" xfId="0" applyNumberFormat="1" applyFont="1" applyBorder="1" applyAlignment="1">
      <alignment horizontal="center"/>
    </xf>
    <xf numFmtId="0" fontId="13" fillId="46" borderId="3" xfId="0" applyFont="1" applyFill="1" applyBorder="1" applyAlignment="1" applyProtection="1">
      <alignment horizontal="center"/>
      <protection locked="0"/>
    </xf>
    <xf numFmtId="0" fontId="13" fillId="46" borderId="4" xfId="0" applyFont="1" applyFill="1" applyBorder="1" applyAlignment="1" applyProtection="1">
      <alignment horizontal="center"/>
      <protection locked="0"/>
    </xf>
    <xf numFmtId="0" fontId="13" fillId="46" borderId="8" xfId="0" applyFont="1" applyFill="1" applyBorder="1" applyAlignment="1" applyProtection="1">
      <alignment horizontal="center"/>
      <protection locked="0"/>
    </xf>
    <xf numFmtId="0" fontId="22" fillId="0" borderId="1" xfId="0" applyFont="1" applyBorder="1" applyAlignment="1">
      <alignment horizontal="center" wrapText="1"/>
    </xf>
    <xf numFmtId="0" fontId="22" fillId="0" borderId="2" xfId="0" applyFont="1" applyBorder="1" applyAlignment="1">
      <alignment horizontal="center" wrapText="1"/>
    </xf>
    <xf numFmtId="0" fontId="22" fillId="0" borderId="11" xfId="0" applyFont="1" applyBorder="1" applyAlignment="1">
      <alignment horizontal="center" wrapText="1"/>
    </xf>
    <xf numFmtId="0" fontId="22" fillId="0" borderId="13" xfId="0" applyFont="1" applyBorder="1" applyAlignment="1">
      <alignment horizontal="center" wrapText="1"/>
    </xf>
    <xf numFmtId="0" fontId="13" fillId="4" borderId="3" xfId="0" applyFont="1" applyFill="1" applyBorder="1" applyAlignment="1">
      <alignment horizontal="center"/>
    </xf>
    <xf numFmtId="0" fontId="13" fillId="4" borderId="4" xfId="0" applyFont="1" applyFill="1" applyBorder="1" applyAlignment="1">
      <alignment horizontal="center"/>
    </xf>
    <xf numFmtId="0" fontId="13" fillId="4" borderId="8" xfId="0" applyFont="1" applyFill="1" applyBorder="1" applyAlignment="1">
      <alignment horizontal="center"/>
    </xf>
    <xf numFmtId="0" fontId="13" fillId="11" borderId="3" xfId="0" applyFont="1" applyFill="1" applyBorder="1" applyAlignment="1">
      <alignment horizontal="center"/>
    </xf>
    <xf numFmtId="0" fontId="13" fillId="11" borderId="4" xfId="0" applyFont="1" applyFill="1" applyBorder="1" applyAlignment="1">
      <alignment horizontal="center"/>
    </xf>
    <xf numFmtId="0" fontId="13" fillId="11" borderId="8" xfId="0" applyFont="1" applyFill="1" applyBorder="1" applyAlignment="1">
      <alignment horizontal="center"/>
    </xf>
    <xf numFmtId="166" fontId="13" fillId="0" borderId="45" xfId="0" applyNumberFormat="1" applyFont="1" applyBorder="1" applyAlignment="1">
      <alignment horizontal="center"/>
    </xf>
    <xf numFmtId="166" fontId="13" fillId="0" borderId="28" xfId="0" applyNumberFormat="1" applyFont="1" applyBorder="1" applyAlignment="1">
      <alignment horizontal="center"/>
    </xf>
    <xf numFmtId="1" fontId="13" fillId="7" borderId="3" xfId="0" applyNumberFormat="1" applyFont="1" applyFill="1" applyBorder="1" applyAlignment="1" applyProtection="1">
      <alignment horizontal="center"/>
      <protection locked="0"/>
    </xf>
    <xf numFmtId="1" fontId="13" fillId="0" borderId="23" xfId="0" applyNumberFormat="1" applyFont="1" applyBorder="1" applyAlignment="1">
      <alignment horizontal="center"/>
    </xf>
    <xf numFmtId="1" fontId="13" fillId="0" borderId="21" xfId="0" applyNumberFormat="1" applyFont="1" applyBorder="1" applyAlignment="1">
      <alignment horizontal="center"/>
    </xf>
    <xf numFmtId="2" fontId="13" fillId="46" borderId="12" xfId="0" applyNumberFormat="1" applyFont="1" applyFill="1" applyBorder="1" applyAlignment="1">
      <alignment horizontal="center"/>
    </xf>
    <xf numFmtId="10" fontId="22" fillId="0" borderId="3" xfId="573" applyNumberFormat="1" applyFont="1" applyFill="1" applyBorder="1" applyAlignment="1" applyProtection="1">
      <alignment horizontal="center"/>
    </xf>
    <xf numFmtId="10" fontId="22" fillId="0" borderId="4" xfId="573" applyNumberFormat="1" applyFont="1" applyFill="1" applyBorder="1" applyAlignment="1" applyProtection="1">
      <alignment horizontal="center"/>
    </xf>
    <xf numFmtId="10" fontId="22" fillId="0" borderId="8" xfId="573" applyNumberFormat="1" applyFont="1" applyFill="1" applyBorder="1" applyAlignment="1" applyProtection="1">
      <alignment horizontal="center"/>
    </xf>
    <xf numFmtId="0" fontId="12" fillId="0" borderId="12" xfId="0" applyFont="1" applyBorder="1" applyAlignment="1">
      <alignment horizontal="right"/>
    </xf>
    <xf numFmtId="166" fontId="20" fillId="0" borderId="1" xfId="0" applyNumberFormat="1" applyFont="1" applyBorder="1" applyAlignment="1">
      <alignment horizontal="center" vertical="center"/>
    </xf>
    <xf numFmtId="166" fontId="20" fillId="0" borderId="2" xfId="0" applyNumberFormat="1" applyFont="1" applyBorder="1" applyAlignment="1">
      <alignment horizontal="center" vertical="center"/>
    </xf>
    <xf numFmtId="166" fontId="20" fillId="0" borderId="11" xfId="0" applyNumberFormat="1" applyFont="1" applyBorder="1" applyAlignment="1">
      <alignment horizontal="center" vertical="center"/>
    </xf>
    <xf numFmtId="166" fontId="20" fillId="0" borderId="9" xfId="0" applyNumberFormat="1" applyFont="1" applyBorder="1" applyAlignment="1">
      <alignment horizontal="center" vertical="center"/>
    </xf>
    <xf numFmtId="166" fontId="20" fillId="0" borderId="5" xfId="0" applyNumberFormat="1" applyFont="1" applyBorder="1" applyAlignment="1">
      <alignment horizontal="center" vertical="center"/>
    </xf>
    <xf numFmtId="166" fontId="20" fillId="0" borderId="10" xfId="0" applyNumberFormat="1" applyFont="1" applyBorder="1" applyAlignment="1">
      <alignment horizontal="center" vertical="center"/>
    </xf>
    <xf numFmtId="0" fontId="14" fillId="0" borderId="3" xfId="0" applyFont="1" applyBorder="1" applyAlignment="1">
      <alignment horizontal="center" wrapText="1"/>
    </xf>
    <xf numFmtId="0" fontId="14" fillId="0" borderId="8" xfId="0" applyFont="1" applyBorder="1" applyAlignment="1">
      <alignment horizontal="center" wrapText="1"/>
    </xf>
    <xf numFmtId="1" fontId="14" fillId="12" borderId="12" xfId="0" applyNumberFormat="1" applyFont="1" applyFill="1" applyBorder="1" applyAlignment="1">
      <alignment horizontal="center"/>
    </xf>
    <xf numFmtId="0" fontId="12" fillId="0" borderId="4" xfId="0" applyFont="1" applyBorder="1"/>
    <xf numFmtId="0" fontId="12" fillId="0" borderId="8" xfId="0" applyFont="1" applyBorder="1"/>
    <xf numFmtId="1" fontId="14" fillId="12" borderId="3" xfId="0" applyNumberFormat="1" applyFont="1" applyFill="1" applyBorder="1" applyAlignment="1">
      <alignment horizontal="center"/>
    </xf>
    <xf numFmtId="1" fontId="14" fillId="12" borderId="4" xfId="0" applyNumberFormat="1" applyFont="1" applyFill="1" applyBorder="1" applyAlignment="1">
      <alignment horizontal="center"/>
    </xf>
    <xf numFmtId="1" fontId="14" fillId="12" borderId="8" xfId="0" applyNumberFormat="1" applyFont="1" applyFill="1" applyBorder="1" applyAlignment="1">
      <alignment horizontal="center"/>
    </xf>
    <xf numFmtId="1" fontId="13" fillId="0" borderId="8" xfId="0" applyNumberFormat="1" applyFont="1" applyBorder="1" applyAlignment="1">
      <alignment horizontal="center"/>
    </xf>
    <xf numFmtId="1" fontId="13" fillId="0" borderId="24" xfId="0" applyNumberFormat="1" applyFont="1" applyBorder="1" applyAlignment="1">
      <alignment horizontal="center"/>
    </xf>
    <xf numFmtId="0" fontId="13" fillId="7" borderId="5" xfId="0" applyFont="1" applyFill="1" applyBorder="1" applyAlignment="1" applyProtection="1">
      <alignment horizontal="left"/>
      <protection locked="0"/>
    </xf>
    <xf numFmtId="0" fontId="13" fillId="7" borderId="5" xfId="0" applyFont="1" applyFill="1" applyBorder="1" applyAlignment="1" applyProtection="1">
      <alignment horizontal="center"/>
      <protection locked="0"/>
    </xf>
    <xf numFmtId="0" fontId="13" fillId="0" borderId="0" xfId="0" applyFont="1" applyAlignment="1">
      <alignment horizontal="left" wrapText="1"/>
    </xf>
    <xf numFmtId="0" fontId="25" fillId="7" borderId="5" xfId="0" applyFont="1" applyFill="1" applyBorder="1" applyAlignment="1" applyProtection="1">
      <alignment horizontal="center"/>
      <protection locked="0"/>
    </xf>
    <xf numFmtId="0" fontId="13" fillId="0" borderId="0" xfId="0" applyFont="1" applyAlignment="1">
      <alignment horizontal="left" vertical="center" wrapText="1" shrinkToFit="1"/>
    </xf>
    <xf numFmtId="0" fontId="13" fillId="0" borderId="5" xfId="0" applyFont="1" applyBorder="1" applyAlignment="1">
      <alignment horizontal="left"/>
    </xf>
    <xf numFmtId="0" fontId="13" fillId="47" borderId="5" xfId="0" applyFont="1" applyFill="1" applyBorder="1" applyAlignment="1">
      <alignment horizontal="left"/>
    </xf>
    <xf numFmtId="0" fontId="13" fillId="0" borderId="5" xfId="0" applyFont="1" applyBorder="1" applyAlignment="1">
      <alignment horizontal="left" vertical="top" wrapText="1"/>
    </xf>
    <xf numFmtId="1" fontId="14" fillId="0" borderId="63" xfId="0" applyNumberFormat="1" applyFont="1" applyBorder="1" applyAlignment="1">
      <alignment horizontal="center"/>
    </xf>
    <xf numFmtId="1" fontId="14" fillId="0" borderId="14" xfId="0" applyNumberFormat="1" applyFont="1" applyBorder="1" applyAlignment="1">
      <alignment horizontal="center"/>
    </xf>
    <xf numFmtId="1" fontId="14" fillId="0" borderId="64" xfId="0" applyNumberFormat="1" applyFont="1" applyBorder="1" applyAlignment="1">
      <alignment horizontal="center"/>
    </xf>
    <xf numFmtId="0" fontId="13"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169" fontId="142" fillId="0" borderId="13" xfId="0" applyNumberFormat="1" applyFont="1" applyBorder="1" applyAlignment="1">
      <alignment horizontal="center" vertical="center" wrapText="1"/>
    </xf>
    <xf numFmtId="172" fontId="5" fillId="0" borderId="3" xfId="546" applyNumberFormat="1" applyBorder="1" applyAlignment="1">
      <alignment horizontal="center"/>
    </xf>
    <xf numFmtId="172" fontId="5" fillId="0" borderId="4" xfId="546" applyNumberFormat="1" applyBorder="1" applyAlignment="1">
      <alignment horizontal="center"/>
    </xf>
    <xf numFmtId="172" fontId="5" fillId="0" borderId="8" xfId="546" applyNumberFormat="1" applyBorder="1" applyAlignment="1">
      <alignment horizontal="center"/>
    </xf>
    <xf numFmtId="0" fontId="22" fillId="4" borderId="3" xfId="0" applyFont="1" applyFill="1" applyBorder="1" applyAlignment="1">
      <alignment horizontal="right"/>
    </xf>
    <xf numFmtId="0" fontId="22" fillId="4" borderId="4" xfId="0" applyFont="1" applyFill="1" applyBorder="1" applyAlignment="1">
      <alignment horizontal="right"/>
    </xf>
    <xf numFmtId="0" fontId="22" fillId="4" borderId="8" xfId="0" applyFont="1" applyFill="1" applyBorder="1" applyAlignment="1">
      <alignment horizontal="right"/>
    </xf>
    <xf numFmtId="173" fontId="5" fillId="0" borderId="3" xfId="546" applyNumberFormat="1" applyBorder="1" applyAlignment="1">
      <alignment horizontal="center"/>
    </xf>
    <xf numFmtId="173" fontId="5" fillId="0" borderId="4" xfId="546" applyNumberFormat="1" applyBorder="1" applyAlignment="1">
      <alignment horizontal="center"/>
    </xf>
    <xf numFmtId="173" fontId="5" fillId="0" borderId="8" xfId="546" applyNumberFormat="1" applyBorder="1" applyAlignment="1">
      <alignment horizontal="center"/>
    </xf>
    <xf numFmtId="0" fontId="0" fillId="0" borderId="1" xfId="0" applyBorder="1" applyAlignment="1">
      <alignment horizont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11" xfId="0" applyFont="1" applyBorder="1" applyAlignment="1">
      <alignment horizontal="center" vertical="center"/>
    </xf>
    <xf numFmtId="0" fontId="13" fillId="0" borderId="9" xfId="0" applyFont="1" applyBorder="1" applyAlignment="1">
      <alignment horizontal="center" vertical="center"/>
    </xf>
    <xf numFmtId="0" fontId="13" fillId="0" borderId="5" xfId="0" applyFont="1" applyBorder="1" applyAlignment="1">
      <alignment horizontal="center" vertical="center"/>
    </xf>
    <xf numFmtId="0" fontId="13" fillId="0" borderId="10" xfId="0" applyFont="1" applyBorder="1" applyAlignment="1">
      <alignment horizontal="center" vertical="center"/>
    </xf>
    <xf numFmtId="1" fontId="13" fillId="0" borderId="44" xfId="0" applyNumberFormat="1" applyFont="1" applyBorder="1" applyAlignment="1">
      <alignment horizontal="center"/>
    </xf>
    <xf numFmtId="1" fontId="13" fillId="0" borderId="26" xfId="0" applyNumberFormat="1" applyFont="1" applyBorder="1" applyAlignment="1">
      <alignment horizontal="center"/>
    </xf>
    <xf numFmtId="9" fontId="22" fillId="0" borderId="3" xfId="0" applyNumberFormat="1" applyFont="1" applyBorder="1" applyAlignment="1">
      <alignment horizontal="center"/>
    </xf>
    <xf numFmtId="9" fontId="22"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2" fillId="0" borderId="0" xfId="0" applyNumberFormat="1" applyFont="1" applyAlignment="1">
      <alignment horizontal="left" vertical="top" wrapText="1"/>
    </xf>
    <xf numFmtId="1" fontId="13" fillId="0" borderId="10" xfId="0" applyNumberFormat="1" applyFont="1" applyBorder="1" applyAlignment="1">
      <alignment horizontal="center"/>
    </xf>
    <xf numFmtId="1" fontId="13" fillId="0" borderId="27" xfId="0" applyNumberFormat="1" applyFont="1" applyBorder="1" applyAlignment="1">
      <alignment horizontal="center"/>
    </xf>
    <xf numFmtId="166" fontId="13" fillId="0" borderId="25" xfId="0" applyNumberFormat="1" applyFont="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8" xfId="0" applyFont="1" applyBorder="1" applyAlignment="1">
      <alignment horizontal="center"/>
    </xf>
    <xf numFmtId="1" fontId="13" fillId="0" borderId="29" xfId="0" applyNumberFormat="1" applyFont="1" applyBorder="1" applyAlignment="1">
      <alignment horizontal="center"/>
    </xf>
    <xf numFmtId="164" fontId="20" fillId="0" borderId="1" xfId="0" applyNumberFormat="1" applyFont="1" applyBorder="1" applyAlignment="1">
      <alignment horizontal="right" vertical="center"/>
    </xf>
    <xf numFmtId="164" fontId="20" fillId="0" borderId="2" xfId="0" applyNumberFormat="1" applyFont="1" applyBorder="1" applyAlignment="1">
      <alignment horizontal="right" vertical="center"/>
    </xf>
    <xf numFmtId="164" fontId="20" fillId="0" borderId="11" xfId="0" applyNumberFormat="1" applyFont="1" applyBorder="1" applyAlignment="1">
      <alignment horizontal="right" vertical="center"/>
    </xf>
    <xf numFmtId="164" fontId="20" fillId="0" borderId="9" xfId="0" applyNumberFormat="1" applyFont="1" applyBorder="1" applyAlignment="1">
      <alignment horizontal="right" vertical="center"/>
    </xf>
    <xf numFmtId="164" fontId="20" fillId="0" borderId="5" xfId="0" applyNumberFormat="1" applyFont="1" applyBorder="1" applyAlignment="1">
      <alignment horizontal="right" vertical="center"/>
    </xf>
    <xf numFmtId="164" fontId="20" fillId="0" borderId="10" xfId="0" applyNumberFormat="1" applyFont="1" applyBorder="1" applyAlignment="1">
      <alignment horizontal="right" vertical="center"/>
    </xf>
    <xf numFmtId="0" fontId="13" fillId="46" borderId="3" xfId="0" applyFont="1" applyFill="1" applyBorder="1" applyAlignment="1">
      <alignment horizontal="right"/>
    </xf>
    <xf numFmtId="0" fontId="13" fillId="46" borderId="4" xfId="0" applyFont="1" applyFill="1" applyBorder="1" applyAlignment="1">
      <alignment horizontal="right"/>
    </xf>
    <xf numFmtId="49" fontId="13" fillId="46" borderId="4" xfId="0" applyNumberFormat="1" applyFont="1" applyFill="1" applyBorder="1" applyAlignment="1">
      <alignment horizontal="left"/>
    </xf>
    <xf numFmtId="49" fontId="13" fillId="46" borderId="8" xfId="0" applyNumberFormat="1" applyFont="1" applyFill="1" applyBorder="1" applyAlignment="1">
      <alignment horizontal="left"/>
    </xf>
    <xf numFmtId="166" fontId="14" fillId="0" borderId="9" xfId="0" applyNumberFormat="1" applyFont="1" applyBorder="1" applyAlignment="1">
      <alignment horizontal="center"/>
    </xf>
    <xf numFmtId="166" fontId="14" fillId="0" borderId="5" xfId="0" applyNumberFormat="1" applyFont="1" applyBorder="1" applyAlignment="1">
      <alignment horizontal="center"/>
    </xf>
    <xf numFmtId="166" fontId="14" fillId="0" borderId="10" xfId="0" applyNumberFormat="1" applyFont="1" applyBorder="1" applyAlignment="1">
      <alignment horizontal="center"/>
    </xf>
    <xf numFmtId="49" fontId="11" fillId="5" borderId="2" xfId="0" applyNumberFormat="1" applyFont="1" applyFill="1" applyBorder="1" applyAlignment="1">
      <alignment horizontal="center" vertical="center"/>
    </xf>
    <xf numFmtId="49" fontId="11" fillId="5" borderId="0" xfId="0" applyNumberFormat="1" applyFont="1" applyFill="1" applyAlignment="1">
      <alignment horizontal="center" vertical="center"/>
    </xf>
    <xf numFmtId="166" fontId="12" fillId="0" borderId="8" xfId="0" applyNumberFormat="1" applyFont="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 fontId="14" fillId="12" borderId="9" xfId="0" applyNumberFormat="1" applyFont="1" applyFill="1" applyBorder="1" applyAlignment="1">
      <alignment horizontal="center"/>
    </xf>
    <xf numFmtId="1" fontId="14" fillId="12" borderId="5" xfId="0" applyNumberFormat="1" applyFont="1" applyFill="1" applyBorder="1" applyAlignment="1">
      <alignment horizontal="center"/>
    </xf>
    <xf numFmtId="1" fontId="14" fillId="12" borderId="10" xfId="0" applyNumberFormat="1" applyFont="1" applyFill="1" applyBorder="1" applyAlignment="1">
      <alignment horizontal="center"/>
    </xf>
    <xf numFmtId="44" fontId="13" fillId="0" borderId="0" xfId="164" applyFont="1" applyFill="1" applyBorder="1" applyAlignment="1" applyProtection="1">
      <alignment horizontal="left" vertical="top" wrapText="1"/>
    </xf>
    <xf numFmtId="0" fontId="22" fillId="0" borderId="0" xfId="0" applyFont="1" applyAlignment="1">
      <alignment horizontal="left" vertical="top" wrapText="1"/>
    </xf>
    <xf numFmtId="0" fontId="13" fillId="0" borderId="0" xfId="0" applyFont="1" applyAlignment="1">
      <alignment horizontal="left" vertical="top" wrapText="1" shrinkToFit="1"/>
    </xf>
    <xf numFmtId="0" fontId="13" fillId="0" borderId="0" xfId="0" applyFont="1" applyAlignment="1">
      <alignment vertical="center" wrapText="1"/>
    </xf>
    <xf numFmtId="0" fontId="14" fillId="0" borderId="13" xfId="0" applyFont="1" applyBorder="1" applyAlignment="1">
      <alignment horizontal="left" vertical="top" wrapText="1"/>
    </xf>
    <xf numFmtId="164" fontId="13" fillId="0" borderId="46" xfId="0" applyNumberFormat="1" applyFont="1" applyBorder="1" applyAlignment="1">
      <alignment horizontal="center" vertical="center" wrapText="1"/>
    </xf>
    <xf numFmtId="164" fontId="13" fillId="0" borderId="47" xfId="0" applyNumberFormat="1" applyFont="1" applyBorder="1" applyAlignment="1">
      <alignment horizontal="center" vertical="center" wrapText="1"/>
    </xf>
    <xf numFmtId="164" fontId="13" fillId="0" borderId="48" xfId="0" applyNumberFormat="1" applyFont="1" applyBorder="1" applyAlignment="1">
      <alignment horizontal="center" vertical="center" wrapText="1"/>
    </xf>
    <xf numFmtId="164" fontId="13" fillId="0" borderId="49" xfId="0" applyNumberFormat="1" applyFont="1" applyBorder="1" applyAlignment="1">
      <alignment horizontal="center" vertical="center" wrapText="1"/>
    </xf>
    <xf numFmtId="164" fontId="13" fillId="0" borderId="0" xfId="0" applyNumberFormat="1" applyFont="1" applyAlignment="1">
      <alignment horizontal="center" vertical="center" wrapText="1"/>
    </xf>
    <xf numFmtId="164" fontId="13" fillId="0" borderId="50" xfId="0" applyNumberFormat="1" applyFont="1" applyBorder="1" applyAlignment="1">
      <alignment horizontal="center" vertical="center" wrapText="1"/>
    </xf>
    <xf numFmtId="164" fontId="13" fillId="0" borderId="52" xfId="0" applyNumberFormat="1" applyFont="1" applyBorder="1" applyAlignment="1">
      <alignment horizontal="center" vertical="center" wrapText="1"/>
    </xf>
    <xf numFmtId="164" fontId="13" fillId="0" borderId="53" xfId="0" applyNumberFormat="1" applyFont="1" applyBorder="1" applyAlignment="1">
      <alignment horizontal="center" vertical="center" wrapText="1"/>
    </xf>
    <xf numFmtId="164" fontId="13" fillId="0" borderId="54" xfId="0" applyNumberFormat="1" applyFont="1" applyBorder="1" applyAlignment="1">
      <alignment horizontal="center" vertical="center" wrapText="1"/>
    </xf>
    <xf numFmtId="1" fontId="13" fillId="0" borderId="22" xfId="0" applyNumberFormat="1" applyFont="1" applyBorder="1" applyAlignment="1">
      <alignment horizontal="center"/>
    </xf>
    <xf numFmtId="0" fontId="49" fillId="0" borderId="3" xfId="0" applyFont="1" applyBorder="1" applyAlignment="1">
      <alignment horizontal="left"/>
    </xf>
    <xf numFmtId="166" fontId="13" fillId="0" borderId="15" xfId="0" applyNumberFormat="1" applyFont="1" applyBorder="1" applyAlignment="1">
      <alignment horizont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31" fillId="52" borderId="0" xfId="575" applyFont="1" applyFill="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2" fontId="127" fillId="0" borderId="0" xfId="575" applyNumberFormat="1" applyFont="1" applyAlignment="1">
      <alignment horizontal="center"/>
    </xf>
    <xf numFmtId="181" fontId="127" fillId="0" borderId="0" xfId="575" applyNumberFormat="1" applyFont="1" applyAlignment="1">
      <alignment horizontal="center"/>
    </xf>
    <xf numFmtId="0" fontId="127" fillId="51" borderId="5" xfId="575" applyFont="1" applyFill="1" applyBorder="1" applyAlignment="1" applyProtection="1">
      <alignment horizontal="center"/>
      <protection locked="0"/>
    </xf>
    <xf numFmtId="49" fontId="11" fillId="5" borderId="0" xfId="278" applyNumberFormat="1" applyFont="1" applyFill="1" applyAlignment="1">
      <alignment horizontal="center" vertical="center"/>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5" xfId="575" applyNumberFormat="1" applyFont="1" applyBorder="1" applyAlignment="1">
      <alignment horizontal="center"/>
    </xf>
    <xf numFmtId="0" fontId="58" fillId="0" borderId="0" xfId="273" applyFont="1" applyAlignment="1">
      <alignment horizontal="left" vertical="top" wrapText="1"/>
    </xf>
    <xf numFmtId="169" fontId="10" fillId="7" borderId="5" xfId="273" applyNumberFormat="1" applyFont="1" applyFill="1" applyBorder="1" applyAlignment="1" applyProtection="1">
      <alignment horizontal="right"/>
      <protection locked="0"/>
    </xf>
    <xf numFmtId="169" fontId="58" fillId="0" borderId="5" xfId="273" applyNumberFormat="1" applyFont="1" applyBorder="1" applyAlignment="1">
      <alignment horizontal="right"/>
    </xf>
    <xf numFmtId="169" fontId="10" fillId="7" borderId="4" xfId="273" applyNumberFormat="1" applyFont="1" applyFill="1" applyBorder="1" applyAlignment="1" applyProtection="1">
      <alignment horizontal="right"/>
      <protection locked="0"/>
    </xf>
    <xf numFmtId="169" fontId="10" fillId="0" borderId="5" xfId="273" applyNumberFormat="1" applyFont="1" applyBorder="1" applyAlignment="1">
      <alignment horizontal="right"/>
    </xf>
    <xf numFmtId="169" fontId="10" fillId="0" borderId="4" xfId="273" applyNumberFormat="1" applyFont="1" applyBorder="1" applyAlignment="1">
      <alignment horizontal="right"/>
    </xf>
    <xf numFmtId="0" fontId="10" fillId="0" borderId="0" xfId="273" applyFont="1" applyAlignment="1">
      <alignment horizontal="center" wrapText="1"/>
    </xf>
    <xf numFmtId="0" fontId="10" fillId="0" borderId="5" xfId="273" applyFont="1" applyBorder="1" applyAlignment="1">
      <alignment horizontal="center" wrapText="1"/>
    </xf>
    <xf numFmtId="0" fontId="10" fillId="0" borderId="0" xfId="0" applyFont="1" applyAlignment="1" applyProtection="1">
      <alignment horizontal="center" wrapText="1"/>
      <protection locked="0"/>
    </xf>
    <xf numFmtId="0" fontId="10" fillId="0" borderId="5" xfId="0" applyFont="1" applyBorder="1" applyAlignment="1" applyProtection="1">
      <alignment horizontal="center" wrapText="1"/>
      <protection locked="0"/>
    </xf>
    <xf numFmtId="0" fontId="10" fillId="0" borderId="0" xfId="273" applyFont="1" applyAlignment="1">
      <alignment horizontal="center" vertical="center"/>
    </xf>
    <xf numFmtId="0" fontId="67" fillId="0" borderId="0" xfId="273" applyFont="1" applyAlignment="1">
      <alignment horizontal="right" vertical="center"/>
    </xf>
    <xf numFmtId="0" fontId="10" fillId="0" borderId="0" xfId="273" applyFont="1" applyAlignment="1">
      <alignment horizontal="right" vertical="center"/>
    </xf>
    <xf numFmtId="0" fontId="10" fillId="0" borderId="2" xfId="273" applyFont="1" applyBorder="1" applyAlignment="1">
      <alignment horizontal="center" vertical="center"/>
    </xf>
    <xf numFmtId="2" fontId="58" fillId="49" borderId="31" xfId="273" applyNumberFormat="1" applyFont="1" applyFill="1" applyBorder="1" applyAlignment="1">
      <alignment horizontal="center" vertical="center"/>
    </xf>
    <xf numFmtId="2" fontId="58" fillId="49" borderId="32" xfId="273" applyNumberFormat="1" applyFont="1" applyFill="1" applyBorder="1" applyAlignment="1">
      <alignment horizontal="center" vertical="center"/>
    </xf>
    <xf numFmtId="49" fontId="57" fillId="5" borderId="0" xfId="273" applyNumberFormat="1" applyFont="1" applyFill="1" applyAlignment="1">
      <alignment horizontal="center" vertical="center"/>
    </xf>
    <xf numFmtId="0" fontId="58" fillId="0" borderId="0" xfId="273" applyFont="1" applyAlignment="1">
      <alignment horizontal="left"/>
    </xf>
    <xf numFmtId="0" fontId="59" fillId="0" borderId="0" xfId="273" applyFont="1" applyAlignment="1">
      <alignment horizontal="left"/>
    </xf>
    <xf numFmtId="0" fontId="10" fillId="0" borderId="3" xfId="273" applyFont="1" applyBorder="1" applyAlignment="1">
      <alignment horizontal="center"/>
    </xf>
    <xf numFmtId="165" fontId="10" fillId="0" borderId="4" xfId="273" applyNumberFormat="1" applyFont="1" applyBorder="1" applyAlignment="1">
      <alignment horizontal="center"/>
    </xf>
    <xf numFmtId="165" fontId="10" fillId="0" borderId="8" xfId="273" applyNumberFormat="1" applyFont="1" applyBorder="1" applyAlignment="1">
      <alignment horizontal="center"/>
    </xf>
    <xf numFmtId="0" fontId="10" fillId="0" borderId="5" xfId="273" applyFont="1" applyBorder="1" applyAlignment="1">
      <alignment horizontal="left"/>
    </xf>
    <xf numFmtId="0" fontId="10" fillId="7" borderId="4" xfId="273" applyFont="1" applyFill="1" applyBorder="1" applyAlignment="1" applyProtection="1">
      <alignment horizontal="left"/>
      <protection locked="0"/>
    </xf>
    <xf numFmtId="0" fontId="60" fillId="0" borderId="2" xfId="273" applyFont="1" applyBorder="1" applyAlignment="1">
      <alignment horizontal="left"/>
    </xf>
    <xf numFmtId="0" fontId="58" fillId="0" borderId="0" xfId="273" applyFont="1" applyAlignment="1">
      <alignment horizontal="left" vertical="center"/>
    </xf>
    <xf numFmtId="0" fontId="10" fillId="0" borderId="0" xfId="273" applyFont="1" applyAlignment="1">
      <alignment horizontal="left"/>
    </xf>
    <xf numFmtId="169" fontId="10" fillId="0" borderId="0" xfId="273" applyNumberFormat="1" applyFont="1" applyAlignment="1">
      <alignment horizontal="left"/>
    </xf>
    <xf numFmtId="1" fontId="10" fillId="7" borderId="5" xfId="273" applyNumberFormat="1" applyFont="1" applyFill="1" applyBorder="1" applyAlignment="1" applyProtection="1">
      <alignment horizontal="left" vertical="center"/>
      <protection locked="0"/>
    </xf>
    <xf numFmtId="0" fontId="58" fillId="0" borderId="0" xfId="273" applyFont="1" applyAlignment="1">
      <alignment vertical="center" wrapText="1"/>
    </xf>
    <xf numFmtId="169" fontId="10" fillId="0" borderId="0" xfId="273" applyNumberFormat="1" applyFont="1" applyAlignment="1">
      <alignment horizontal="right"/>
    </xf>
    <xf numFmtId="1" fontId="10" fillId="7" borderId="51" xfId="273" applyNumberFormat="1" applyFont="1" applyFill="1" applyBorder="1" applyAlignment="1" applyProtection="1">
      <alignment horizontal="left" vertical="center"/>
      <protection locked="0"/>
    </xf>
    <xf numFmtId="0" fontId="58" fillId="0" borderId="73" xfId="273" applyFont="1" applyBorder="1" applyAlignment="1">
      <alignment horizontal="left" vertical="center" wrapText="1"/>
    </xf>
    <xf numFmtId="0" fontId="58" fillId="0" borderId="2" xfId="273" applyFont="1" applyBorder="1" applyAlignment="1">
      <alignment horizontal="left" vertical="center" wrapText="1"/>
    </xf>
    <xf numFmtId="0" fontId="58" fillId="0" borderId="49" xfId="273" applyFont="1" applyBorder="1" applyAlignment="1">
      <alignment horizontal="left" vertical="center" wrapText="1"/>
    </xf>
    <xf numFmtId="0" fontId="58" fillId="0" borderId="0" xfId="273" applyFont="1" applyAlignment="1">
      <alignment horizontal="left" vertical="center" wrapText="1"/>
    </xf>
    <xf numFmtId="0" fontId="10" fillId="0" borderId="4" xfId="273" applyFont="1" applyBorder="1" applyAlignment="1">
      <alignment horizontal="left"/>
    </xf>
    <xf numFmtId="3" fontId="10" fillId="0" borderId="5" xfId="273" applyNumberFormat="1" applyFont="1" applyBorder="1" applyAlignment="1">
      <alignment horizontal="center"/>
    </xf>
    <xf numFmtId="3" fontId="5" fillId="0" borderId="5" xfId="273" applyNumberFormat="1" applyFont="1" applyBorder="1"/>
    <xf numFmtId="0" fontId="56" fillId="0" borderId="0" xfId="273" applyFont="1" applyAlignment="1">
      <alignment horizontal="center" vertical="center"/>
    </xf>
    <xf numFmtId="3" fontId="10" fillId="0" borderId="2" xfId="273" applyNumberFormat="1" applyFont="1" applyBorder="1" applyAlignment="1">
      <alignment horizontal="center"/>
    </xf>
    <xf numFmtId="3" fontId="5" fillId="0" borderId="0" xfId="273" applyNumberFormat="1" applyFont="1"/>
    <xf numFmtId="176" fontId="58" fillId="0" borderId="31" xfId="573" applyNumberFormat="1" applyFont="1" applyBorder="1" applyAlignment="1" applyProtection="1">
      <alignment horizontal="center" vertical="center"/>
    </xf>
    <xf numFmtId="176" fontId="58" fillId="0" borderId="32" xfId="573" applyNumberFormat="1" applyFont="1" applyBorder="1" applyAlignment="1" applyProtection="1">
      <alignment horizontal="center" vertical="center"/>
    </xf>
    <xf numFmtId="1" fontId="10" fillId="7" borderId="4" xfId="273" applyNumberFormat="1" applyFont="1" applyFill="1" applyBorder="1" applyAlignment="1" applyProtection="1">
      <alignment horizontal="right"/>
      <protection locked="0"/>
    </xf>
    <xf numFmtId="3" fontId="14" fillId="0" borderId="0" xfId="273" applyNumberFormat="1" applyAlignment="1">
      <alignment horizontal="left" vertical="top" wrapText="1"/>
    </xf>
    <xf numFmtId="0" fontId="10" fillId="0" borderId="5" xfId="0" applyFont="1" applyBorder="1" applyAlignment="1">
      <alignment horizontal="center"/>
    </xf>
    <xf numFmtId="10" fontId="0" fillId="0" borderId="12" xfId="0" applyNumberFormat="1" applyBorder="1" applyAlignment="1" applyProtection="1">
      <alignment horizontal="center"/>
      <protection locked="0"/>
    </xf>
    <xf numFmtId="0" fontId="28"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1230">
    <cellStyle name="20% - Accent1" xfId="1" builtinId="30" customBuiltin="1"/>
    <cellStyle name="20% - Accent1 10" xfId="6165" xr:uid="{D3E2AE78-E94A-4A24-AEA9-62D47A206E61}"/>
    <cellStyle name="20% - Accent1 11" xfId="1861" xr:uid="{04A4580C-B8A0-4A6F-A3EC-A231729F4F1E}"/>
    <cellStyle name="20% - Accent1 12" xfId="1032" xr:uid="{0DFD7BC3-2F7F-41C7-A2FA-CE88DD456901}"/>
    <cellStyle name="20% - Accent1 13" xfId="10398" xr:uid="{7D64C888-1C0F-4FC6-BF1B-EFE2E69010CF}"/>
    <cellStyle name="20% - Accent1 2" xfId="2" xr:uid="{00000000-0005-0000-0000-000001000000}"/>
    <cellStyle name="20% - Accent1 2 10" xfId="1862" xr:uid="{A122691E-7C5F-4A8B-848D-6396E65F8385}"/>
    <cellStyle name="20% - Accent1 2 11" xfId="1033" xr:uid="{7E4BA2EE-4121-4458-8053-33CF90DD138C}"/>
    <cellStyle name="20% - Accent1 2 12" xfId="10399" xr:uid="{B5357D5E-A0C7-41C4-A06E-45ECD14EDB66}"/>
    <cellStyle name="20% - Accent1 2 2" xfId="3" xr:uid="{00000000-0005-0000-0000-000002000000}"/>
    <cellStyle name="20% - Accent1 2 2 10" xfId="1034" xr:uid="{E3B1A291-34A4-4B6B-B918-6821377F99E0}"/>
    <cellStyle name="20% - Accent1 2 2 11" xfId="10400" xr:uid="{8AAD6B07-D02D-4449-A25D-AB97881BEBEC}"/>
    <cellStyle name="20% - Accent1 2 2 2" xfId="4" xr:uid="{00000000-0005-0000-0000-000003000000}"/>
    <cellStyle name="20% - Accent1 2 2 2 10" xfId="10401" xr:uid="{E0F1FB60-A987-455A-B14C-D79E671B9A82}"/>
    <cellStyle name="20% - Accent1 2 2 2 2" xfId="581" xr:uid="{00000000-0005-0000-0000-000004000000}"/>
    <cellStyle name="20% - Accent1 2 2 2 2 2" xfId="4509" xr:uid="{B50F4EDE-3E85-4FF6-9B21-A15769FE6979}"/>
    <cellStyle name="20% - Accent1 2 2 2 2 2 2" xfId="8727" xr:uid="{9BA827D5-9FD5-47DF-8535-5873B63E1752}"/>
    <cellStyle name="20% - Accent1 2 2 2 2 3" xfId="6582" xr:uid="{237F9767-4277-43F7-BFEB-1EC9FC918983}"/>
    <cellStyle name="20% - Accent1 2 2 2 2 4" xfId="2278" xr:uid="{A9313942-A50B-4115-BF51-E9CFEA680666}"/>
    <cellStyle name="20% - Accent1 2 2 2 2 5" xfId="1451" xr:uid="{DA70424C-6779-49F2-83A9-051737B6B687}"/>
    <cellStyle name="20% - Accent1 2 2 2 2 6" xfId="10817" xr:uid="{E125BA4C-C9E1-4BAD-8D78-A3683FC5F9D5}"/>
    <cellStyle name="20% - Accent1 2 2 2 3" xfId="2693" xr:uid="{7AEF6178-1006-4373-827F-B5E4B0823A19}"/>
    <cellStyle name="20% - Accent1 2 2 2 3 2" xfId="4922" xr:uid="{B7EBE03F-7E02-4F2B-8790-2C4B38DC5B7F}"/>
    <cellStyle name="20% - Accent1 2 2 2 3 2 2" xfId="9140" xr:uid="{9CF018E4-174E-4EF3-B601-8DDA5B1FFFD8}"/>
    <cellStyle name="20% - Accent1 2 2 2 3 3" xfId="6995" xr:uid="{350C613E-03C2-423F-8BAD-C7A4E18AFA59}"/>
    <cellStyle name="20% - Accent1 2 2 2 4" xfId="3106" xr:uid="{212A09AD-C8B3-4D3B-82B1-A90E699013C1}"/>
    <cellStyle name="20% - Accent1 2 2 2 4 2" xfId="5335" xr:uid="{C2EC0D98-2312-467D-8A88-EDE57DE312F1}"/>
    <cellStyle name="20% - Accent1 2 2 2 4 2 2" xfId="9553" xr:uid="{FD6F1ED9-6D99-4461-95F6-7E5AE9BB8C4A}"/>
    <cellStyle name="20% - Accent1 2 2 2 4 3" xfId="7408" xr:uid="{24009D0E-A9F8-49CC-84BE-8171B4F46D6D}"/>
    <cellStyle name="20% - Accent1 2 2 2 5" xfId="3519" xr:uid="{8E2BD424-6085-4854-BD94-B143252CE6CE}"/>
    <cellStyle name="20% - Accent1 2 2 2 5 2" xfId="5748" xr:uid="{7DB5D081-D30B-4FBF-BA3E-EACF09F25FAB}"/>
    <cellStyle name="20% - Accent1 2 2 2 5 2 2" xfId="9966" xr:uid="{0A78F29D-0813-4A9F-84E3-5C11605B63EE}"/>
    <cellStyle name="20% - Accent1 2 2 2 5 3" xfId="7821" xr:uid="{0BE4C2C2-EDD9-4A0D-A624-8AC5F63C54AB}"/>
    <cellStyle name="20% - Accent1 2 2 2 6" xfId="3932" xr:uid="{6D27CE02-C4A8-4D3D-8A52-FDF662174440}"/>
    <cellStyle name="20% - Accent1 2 2 2 6 2" xfId="8234" xr:uid="{CBFFF921-551D-4A97-B897-055C29554379}"/>
    <cellStyle name="20% - Accent1 2 2 2 7" xfId="6168" xr:uid="{63E28AEE-341A-4609-9086-688147219003}"/>
    <cellStyle name="20% - Accent1 2 2 2 8" xfId="1864" xr:uid="{B0094CDF-0BEF-442B-9A64-01075B2629A6}"/>
    <cellStyle name="20% - Accent1 2 2 2 9" xfId="1035" xr:uid="{59F91933-E273-4508-9F50-5792EB05720C}"/>
    <cellStyle name="20% - Accent1 2 2 3" xfId="580" xr:uid="{00000000-0005-0000-0000-000005000000}"/>
    <cellStyle name="20% - Accent1 2 2 3 2" xfId="4508" xr:uid="{907531E6-CA01-4C49-82BC-7AF2D3091ADE}"/>
    <cellStyle name="20% - Accent1 2 2 3 2 2" xfId="8726" xr:uid="{C6E5EA50-F910-4C79-B0E3-D4E99BE4755E}"/>
    <cellStyle name="20% - Accent1 2 2 3 3" xfId="6581" xr:uid="{9FA530E6-A194-48DD-9E5B-484D9CE10D90}"/>
    <cellStyle name="20% - Accent1 2 2 3 4" xfId="2277" xr:uid="{52A96A58-96E5-4426-9080-DB7F27B4C4B3}"/>
    <cellStyle name="20% - Accent1 2 2 3 5" xfId="1450" xr:uid="{B6040FF1-71F3-4FD9-8ED5-8FB64AC572B7}"/>
    <cellStyle name="20% - Accent1 2 2 3 6" xfId="10816" xr:uid="{952EC7DD-6C18-40C6-BEAF-DC7517871012}"/>
    <cellStyle name="20% - Accent1 2 2 4" xfId="2692" xr:uid="{BCF10335-88D9-4B4D-A5D0-BB302D8F46A6}"/>
    <cellStyle name="20% - Accent1 2 2 4 2" xfId="4921" xr:uid="{D0AF1DBB-EF7C-4AF1-8B36-E88CBEA0F8EE}"/>
    <cellStyle name="20% - Accent1 2 2 4 2 2" xfId="9139" xr:uid="{D196F539-961C-44D9-9A58-61D2E76EBEB1}"/>
    <cellStyle name="20% - Accent1 2 2 4 3" xfId="6994" xr:uid="{08BEB4A2-E1B1-4D4C-94DC-133CF4CFF085}"/>
    <cellStyle name="20% - Accent1 2 2 5" xfId="3105" xr:uid="{4EB55710-F3A1-4930-A20F-253ACEC9906F}"/>
    <cellStyle name="20% - Accent1 2 2 5 2" xfId="5334" xr:uid="{F337BF29-7091-4804-AFF9-E73C3A4B9C4F}"/>
    <cellStyle name="20% - Accent1 2 2 5 2 2" xfId="9552" xr:uid="{8CEBC982-4633-4610-B92A-30443852367D}"/>
    <cellStyle name="20% - Accent1 2 2 5 3" xfId="7407" xr:uid="{F4815F2A-20E9-423D-92DA-8E2B3A459679}"/>
    <cellStyle name="20% - Accent1 2 2 6" xfId="3518" xr:uid="{7A2408C0-2CBE-4B31-99F6-B3DF1E2733EC}"/>
    <cellStyle name="20% - Accent1 2 2 6 2" xfId="5747" xr:uid="{9A224C38-DAA2-42EA-A103-B70B3D5956D0}"/>
    <cellStyle name="20% - Accent1 2 2 6 2 2" xfId="9965" xr:uid="{C76561BE-22DF-4875-AC9E-3C9B4EB1C3F7}"/>
    <cellStyle name="20% - Accent1 2 2 6 3" xfId="7820" xr:uid="{CD07E457-5E35-4532-8960-E14C3245294A}"/>
    <cellStyle name="20% - Accent1 2 2 7" xfId="3931" xr:uid="{D33700D7-CAF1-450D-8783-D39F8F1F246E}"/>
    <cellStyle name="20% - Accent1 2 2 7 2" xfId="8233" xr:uid="{D615444D-4F69-44C5-A72C-BB44FDDC532C}"/>
    <cellStyle name="20% - Accent1 2 2 8" xfId="6167" xr:uid="{372A3C1F-02DC-4C7D-ACF3-3648ADD3D6E8}"/>
    <cellStyle name="20% - Accent1 2 2 9" xfId="1863" xr:uid="{84C26553-78B2-474A-873D-33DC69998070}"/>
    <cellStyle name="20% - Accent1 2 3" xfId="5" xr:uid="{00000000-0005-0000-0000-000006000000}"/>
    <cellStyle name="20% - Accent1 2 3 10" xfId="10402" xr:uid="{4C7EA260-1B31-4CC5-8C2D-809AC742AFB3}"/>
    <cellStyle name="20% - Accent1 2 3 2" xfId="582" xr:uid="{00000000-0005-0000-0000-000007000000}"/>
    <cellStyle name="20% - Accent1 2 3 2 2" xfId="4510" xr:uid="{99DB4367-66F1-4261-B7C3-C0DFFBB3E82C}"/>
    <cellStyle name="20% - Accent1 2 3 2 2 2" xfId="8728" xr:uid="{92C431B7-B169-47E9-A900-810E19416CE2}"/>
    <cellStyle name="20% - Accent1 2 3 2 3" xfId="6583" xr:uid="{C53C1152-82DF-42C5-91A7-EA6424C4858C}"/>
    <cellStyle name="20% - Accent1 2 3 2 4" xfId="2279" xr:uid="{18A209C8-CE3B-406C-B6B6-8904FA7F4A81}"/>
    <cellStyle name="20% - Accent1 2 3 2 5" xfId="1452" xr:uid="{1BE544D9-31DA-442C-A751-9AF19A083714}"/>
    <cellStyle name="20% - Accent1 2 3 2 6" xfId="10818" xr:uid="{A9DBF75C-0B37-4E10-8098-A890E60EB173}"/>
    <cellStyle name="20% - Accent1 2 3 3" xfId="2694" xr:uid="{6037B235-A986-4BE6-86EA-BAB5DFE52A04}"/>
    <cellStyle name="20% - Accent1 2 3 3 2" xfId="4923" xr:uid="{B8AF5CD5-2EAD-489D-B252-6BC95A4C1E27}"/>
    <cellStyle name="20% - Accent1 2 3 3 2 2" xfId="9141" xr:uid="{4B79BF48-1A73-4C13-9DFF-AF71B0DDD0C8}"/>
    <cellStyle name="20% - Accent1 2 3 3 3" xfId="6996" xr:uid="{1CAECF48-197A-44A9-BBE7-CE707ECADC07}"/>
    <cellStyle name="20% - Accent1 2 3 4" xfId="3107" xr:uid="{5626FFFD-BD8E-4E81-AF90-1C5230DC4341}"/>
    <cellStyle name="20% - Accent1 2 3 4 2" xfId="5336" xr:uid="{EFECC446-E4A1-48B5-8286-94808195E139}"/>
    <cellStyle name="20% - Accent1 2 3 4 2 2" xfId="9554" xr:uid="{D68BCDBF-279D-43C1-94D0-8392AD75A23F}"/>
    <cellStyle name="20% - Accent1 2 3 4 3" xfId="7409" xr:uid="{5166BE9F-4063-482F-9D47-47F0D324BBD2}"/>
    <cellStyle name="20% - Accent1 2 3 5" xfId="3520" xr:uid="{F8B806D4-ACB9-4C93-B234-760C12DC8577}"/>
    <cellStyle name="20% - Accent1 2 3 5 2" xfId="5749" xr:uid="{070D97E1-84A0-4491-AE3E-CDB228CB05E8}"/>
    <cellStyle name="20% - Accent1 2 3 5 2 2" xfId="9967" xr:uid="{D11EA26A-617B-43EA-99A2-4321B8E075F4}"/>
    <cellStyle name="20% - Accent1 2 3 5 3" xfId="7822" xr:uid="{653252D2-D9E0-48B8-9221-4BB8136F680D}"/>
    <cellStyle name="20% - Accent1 2 3 6" xfId="3933" xr:uid="{E30B53E7-6D95-4D5B-9CB6-852450B0369E}"/>
    <cellStyle name="20% - Accent1 2 3 6 2" xfId="8235" xr:uid="{7ACF33D1-2F89-4EE4-9D0C-F9E48484287C}"/>
    <cellStyle name="20% - Accent1 2 3 7" xfId="6169" xr:uid="{B3340256-F143-4908-A709-9728FD8D1494}"/>
    <cellStyle name="20% - Accent1 2 3 8" xfId="1865" xr:uid="{04757651-143D-4451-B26B-C40C1982D0B8}"/>
    <cellStyle name="20% - Accent1 2 3 9" xfId="1036" xr:uid="{6A1A9206-B089-4293-B118-8F672EE0E24A}"/>
    <cellStyle name="20% - Accent1 2 4" xfId="579" xr:uid="{00000000-0005-0000-0000-000008000000}"/>
    <cellStyle name="20% - Accent1 2 4 2" xfId="4507" xr:uid="{A1523697-A260-4465-A2F5-8ED8CE65DEF4}"/>
    <cellStyle name="20% - Accent1 2 4 2 2" xfId="8725" xr:uid="{8E4BF8DD-E26C-40AE-BB05-A892CC6DCA7C}"/>
    <cellStyle name="20% - Accent1 2 4 3" xfId="6580" xr:uid="{42D82607-D943-4E08-B190-15F016DBF6F5}"/>
    <cellStyle name="20% - Accent1 2 4 4" xfId="2276" xr:uid="{4A3A0792-2FBE-4707-8830-454A3C407FB9}"/>
    <cellStyle name="20% - Accent1 2 4 5" xfId="1449" xr:uid="{B423F9FC-275D-4013-A91F-A64A4E545B1C}"/>
    <cellStyle name="20% - Accent1 2 4 6" xfId="10815" xr:uid="{42561041-4F2C-4D79-8F48-76CACF054044}"/>
    <cellStyle name="20% - Accent1 2 5" xfId="2691" xr:uid="{5FC53227-B1C5-4789-B0E5-FF910B331B1D}"/>
    <cellStyle name="20% - Accent1 2 5 2" xfId="4920" xr:uid="{8C7B75A2-33D5-4546-AA86-4365DE858EEF}"/>
    <cellStyle name="20% - Accent1 2 5 2 2" xfId="9138" xr:uid="{FBD99A22-DF32-472A-9E70-47758EC51E5F}"/>
    <cellStyle name="20% - Accent1 2 5 3" xfId="6993" xr:uid="{60498F9B-B101-4F07-A224-5DB0CE7E9CF0}"/>
    <cellStyle name="20% - Accent1 2 6" xfId="3104" xr:uid="{5F0E7CE3-51BF-448F-A531-6560C8EE79F5}"/>
    <cellStyle name="20% - Accent1 2 6 2" xfId="5333" xr:uid="{8388B739-34D4-4A9D-89A6-7929ACF932B7}"/>
    <cellStyle name="20% - Accent1 2 6 2 2" xfId="9551" xr:uid="{F7B3ABD8-2833-404C-B9DB-FA41C7B01BA0}"/>
    <cellStyle name="20% - Accent1 2 6 3" xfId="7406" xr:uid="{F0121858-9E3A-49F7-B34B-DFCBC578286D}"/>
    <cellStyle name="20% - Accent1 2 7" xfId="3517" xr:uid="{ADB2CE53-5D5B-4501-89F9-4FFB1FF89A86}"/>
    <cellStyle name="20% - Accent1 2 7 2" xfId="5746" xr:uid="{E2940D9F-1CF2-4D6C-A059-6319F719A971}"/>
    <cellStyle name="20% - Accent1 2 7 2 2" xfId="9964" xr:uid="{D328687F-0D3E-4CED-8356-94ABCA5E1F91}"/>
    <cellStyle name="20% - Accent1 2 7 3" xfId="7819" xr:uid="{07EFAF85-D8F6-4298-8138-E3C709F41193}"/>
    <cellStyle name="20% - Accent1 2 8" xfId="3930" xr:uid="{70FEC403-ABAC-4001-BAC9-A01D1C4FDEF8}"/>
    <cellStyle name="20% - Accent1 2 8 2" xfId="8232" xr:uid="{87663002-5E6E-4496-A8EA-72595AC4E14F}"/>
    <cellStyle name="20% - Accent1 2 9" xfId="6166" xr:uid="{16E7FC73-3992-47C1-93FD-5EC83089686D}"/>
    <cellStyle name="20% - Accent1 3" xfId="6" xr:uid="{00000000-0005-0000-0000-000009000000}"/>
    <cellStyle name="20% - Accent1 3 10" xfId="1037" xr:uid="{D61B2763-AB43-413B-B5D0-9E82B1E8B24C}"/>
    <cellStyle name="20% - Accent1 3 11" xfId="10403" xr:uid="{15B6C202-3C95-4FCB-AD9E-CA64A4243BA5}"/>
    <cellStyle name="20% - Accent1 3 2" xfId="7" xr:uid="{00000000-0005-0000-0000-00000A000000}"/>
    <cellStyle name="20% - Accent1 3 2 10" xfId="10404" xr:uid="{B8FE09EB-2B64-4670-ADB5-1AB6F61A82C6}"/>
    <cellStyle name="20% - Accent1 3 2 2" xfId="584" xr:uid="{00000000-0005-0000-0000-00000B000000}"/>
    <cellStyle name="20% - Accent1 3 2 2 2" xfId="4512" xr:uid="{606AEB57-97ED-45AB-9FC2-15E2B4DA4909}"/>
    <cellStyle name="20% - Accent1 3 2 2 2 2" xfId="8730" xr:uid="{7DE71670-BD95-4909-A46C-28F732789CD2}"/>
    <cellStyle name="20% - Accent1 3 2 2 3" xfId="6585" xr:uid="{A4B2B9E2-0555-4F4A-BCDA-1A22235CBB87}"/>
    <cellStyle name="20% - Accent1 3 2 2 4" xfId="2281" xr:uid="{E05A8E73-5101-4553-A27F-997496160BBD}"/>
    <cellStyle name="20% - Accent1 3 2 2 5" xfId="1454" xr:uid="{CDE0A4C9-1ADA-4F40-91CF-8182B6165686}"/>
    <cellStyle name="20% - Accent1 3 2 2 6" xfId="10820" xr:uid="{E8707101-9B62-49FF-8C00-25B08FC96A75}"/>
    <cellStyle name="20% - Accent1 3 2 3" xfId="2696" xr:uid="{F71C2E95-84F0-426D-B706-7F0245C4BF9D}"/>
    <cellStyle name="20% - Accent1 3 2 3 2" xfId="4925" xr:uid="{EDF7DD26-BE67-4392-BF89-1E4FE196DDFC}"/>
    <cellStyle name="20% - Accent1 3 2 3 2 2" xfId="9143" xr:uid="{DE72F902-1B02-4B97-BB6A-3F91DC9BAFCE}"/>
    <cellStyle name="20% - Accent1 3 2 3 3" xfId="6998" xr:uid="{A338D1FE-210F-4E7B-B7C1-2577191D706C}"/>
    <cellStyle name="20% - Accent1 3 2 4" xfId="3109" xr:uid="{27A92769-05D9-40E1-BACD-D3F6BF61B375}"/>
    <cellStyle name="20% - Accent1 3 2 4 2" xfId="5338" xr:uid="{84619188-8F0B-496F-AF31-AB3BA83AA4CC}"/>
    <cellStyle name="20% - Accent1 3 2 4 2 2" xfId="9556" xr:uid="{47184D76-3D68-4AE4-8082-829E78C90AC5}"/>
    <cellStyle name="20% - Accent1 3 2 4 3" xfId="7411" xr:uid="{74E6AF95-3A15-480E-A111-A60983335FE8}"/>
    <cellStyle name="20% - Accent1 3 2 5" xfId="3522" xr:uid="{ECA8457E-6531-4CAA-AB5A-0AC123BB080E}"/>
    <cellStyle name="20% - Accent1 3 2 5 2" xfId="5751" xr:uid="{725226AD-5075-4E8C-A37C-6E2313270DF8}"/>
    <cellStyle name="20% - Accent1 3 2 5 2 2" xfId="9969" xr:uid="{88FBF352-AB00-4426-BA26-1ECEE04979E0}"/>
    <cellStyle name="20% - Accent1 3 2 5 3" xfId="7824" xr:uid="{D4E540A6-858E-447E-9920-7FC9D2A1CC1E}"/>
    <cellStyle name="20% - Accent1 3 2 6" xfId="3935" xr:uid="{40C7F3A4-1234-4FE9-90FE-58A261A9A7EB}"/>
    <cellStyle name="20% - Accent1 3 2 6 2" xfId="8237" xr:uid="{3169595F-4955-4FA7-8E55-5FDA2D8BE201}"/>
    <cellStyle name="20% - Accent1 3 2 7" xfId="6171" xr:uid="{2813E541-5B2A-46E2-A9D6-629BE7736E26}"/>
    <cellStyle name="20% - Accent1 3 2 8" xfId="1867" xr:uid="{9998A7C8-7E83-41F0-8BE5-FA364C19C0BE}"/>
    <cellStyle name="20% - Accent1 3 2 9" xfId="1038" xr:uid="{0F9F085B-7E4A-4D85-B3AD-154715D75A3F}"/>
    <cellStyle name="20% - Accent1 3 3" xfId="583" xr:uid="{00000000-0005-0000-0000-00000C000000}"/>
    <cellStyle name="20% - Accent1 3 3 2" xfId="4511" xr:uid="{4A03B89D-5C39-4EA6-984C-8EEF7E7F0411}"/>
    <cellStyle name="20% - Accent1 3 3 2 2" xfId="8729" xr:uid="{86C80E9B-CD55-494C-A4F6-C162E9262164}"/>
    <cellStyle name="20% - Accent1 3 3 3" xfId="6584" xr:uid="{F7979597-238A-446B-9329-7404381F156D}"/>
    <cellStyle name="20% - Accent1 3 3 4" xfId="2280" xr:uid="{1B64B130-C0A3-405B-8324-3DD641F38C3F}"/>
    <cellStyle name="20% - Accent1 3 3 5" xfId="1453" xr:uid="{6FACA84F-B676-415D-B127-ACEB3C896806}"/>
    <cellStyle name="20% - Accent1 3 3 6" xfId="10819" xr:uid="{EFE81E3A-15C6-436E-A30A-ED249FC96657}"/>
    <cellStyle name="20% - Accent1 3 4" xfId="2695" xr:uid="{08E427A8-DF73-4D20-9EBB-835007EBB0C0}"/>
    <cellStyle name="20% - Accent1 3 4 2" xfId="4924" xr:uid="{9E71E75B-1448-46E9-BD9E-E0D5BC4B9281}"/>
    <cellStyle name="20% - Accent1 3 4 2 2" xfId="9142" xr:uid="{DD207266-D612-423F-A75E-8A17248A9608}"/>
    <cellStyle name="20% - Accent1 3 4 3" xfId="6997" xr:uid="{CB4B697B-F84F-447B-B1F4-BE194E5F1848}"/>
    <cellStyle name="20% - Accent1 3 5" xfId="3108" xr:uid="{96924532-E5F5-45A1-9052-16FD6DBE0383}"/>
    <cellStyle name="20% - Accent1 3 5 2" xfId="5337" xr:uid="{070A6016-C7A0-4AD2-B15F-8313E553CF7C}"/>
    <cellStyle name="20% - Accent1 3 5 2 2" xfId="9555" xr:uid="{D287CBE8-2165-409A-81B0-48F3668C570B}"/>
    <cellStyle name="20% - Accent1 3 5 3" xfId="7410" xr:uid="{1CD6D273-45FC-405B-9910-3EB05B51DCCB}"/>
    <cellStyle name="20% - Accent1 3 6" xfId="3521" xr:uid="{44BDC69E-CEAF-482A-A699-71D03C3A72FC}"/>
    <cellStyle name="20% - Accent1 3 6 2" xfId="5750" xr:uid="{C305D42A-58DD-4736-A0FC-12E3E95D91FB}"/>
    <cellStyle name="20% - Accent1 3 6 2 2" xfId="9968" xr:uid="{82C65CE3-CB02-4BDF-8F62-52E823A9CF57}"/>
    <cellStyle name="20% - Accent1 3 6 3" xfId="7823" xr:uid="{729A0E9F-DB79-42E6-B57E-BB9055A9FFFD}"/>
    <cellStyle name="20% - Accent1 3 7" xfId="3934" xr:uid="{B1BCC651-89F3-44E9-9EA6-96239D2A211B}"/>
    <cellStyle name="20% - Accent1 3 7 2" xfId="8236" xr:uid="{4A03EFE1-D67B-429E-B6DC-D5E9D0B56EE1}"/>
    <cellStyle name="20% - Accent1 3 8" xfId="6170" xr:uid="{BB0ED8C9-4F8F-44DF-A074-D734AA4A5470}"/>
    <cellStyle name="20% - Accent1 3 9" xfId="1866" xr:uid="{714969A9-61F6-42EB-8687-A1BE8CAB33C9}"/>
    <cellStyle name="20% - Accent1 4" xfId="8" xr:uid="{00000000-0005-0000-0000-00000D000000}"/>
    <cellStyle name="20% - Accent1 4 10" xfId="10405" xr:uid="{5E06D3BC-D735-41DB-943C-51D938AE1A04}"/>
    <cellStyle name="20% - Accent1 4 2" xfId="585" xr:uid="{00000000-0005-0000-0000-00000E000000}"/>
    <cellStyle name="20% - Accent1 4 2 2" xfId="4513" xr:uid="{E658DC24-3F46-4721-946F-71C82D40223E}"/>
    <cellStyle name="20% - Accent1 4 2 2 2" xfId="8731" xr:uid="{864C118B-BA54-4058-848C-54A80548DC64}"/>
    <cellStyle name="20% - Accent1 4 2 3" xfId="6586" xr:uid="{A3EE5CB8-B9F7-4DAE-873A-DB8D1F99E332}"/>
    <cellStyle name="20% - Accent1 4 2 4" xfId="2282" xr:uid="{E2FA6077-FA72-4508-8319-0B6BB7AB327E}"/>
    <cellStyle name="20% - Accent1 4 2 5" xfId="1455" xr:uid="{5CDFECE3-2AE5-43F6-9C7B-7EC4A53EB821}"/>
    <cellStyle name="20% - Accent1 4 2 6" xfId="10821" xr:uid="{A65FE189-7F08-42B5-AEBA-004E76AD2875}"/>
    <cellStyle name="20% - Accent1 4 3" xfId="2697" xr:uid="{7447B323-795B-4FD3-A09A-464C2C791391}"/>
    <cellStyle name="20% - Accent1 4 3 2" xfId="4926" xr:uid="{BACE61FC-B42E-4CB1-8221-2C064F29C7BE}"/>
    <cellStyle name="20% - Accent1 4 3 2 2" xfId="9144" xr:uid="{9711043E-41FB-43E6-8618-3C5F37FA3ABF}"/>
    <cellStyle name="20% - Accent1 4 3 3" xfId="6999" xr:uid="{38BA32BC-2CCF-41CC-AB0E-2E9EC348AF34}"/>
    <cellStyle name="20% - Accent1 4 4" xfId="3110" xr:uid="{23EF6285-5747-4CF2-BBDF-7045C284ACAC}"/>
    <cellStyle name="20% - Accent1 4 4 2" xfId="5339" xr:uid="{AF3C80D3-1AD9-4102-A2BC-5B4399975716}"/>
    <cellStyle name="20% - Accent1 4 4 2 2" xfId="9557" xr:uid="{06F4F7A3-096E-4046-9775-30A857381CFF}"/>
    <cellStyle name="20% - Accent1 4 4 3" xfId="7412" xr:uid="{94AED6FB-4285-49DD-B889-3A1F3A4B9B59}"/>
    <cellStyle name="20% - Accent1 4 5" xfId="3523" xr:uid="{8A0660AC-30DB-49A1-81FC-E821D24C75CF}"/>
    <cellStyle name="20% - Accent1 4 5 2" xfId="5752" xr:uid="{7411FB3B-0DEA-42A5-BB87-2999B899DCF9}"/>
    <cellStyle name="20% - Accent1 4 5 2 2" xfId="9970" xr:uid="{952A42F6-FAF9-40E8-AEA5-5424ACEC104A}"/>
    <cellStyle name="20% - Accent1 4 5 3" xfId="7825" xr:uid="{274EC8D2-E6E7-4A39-A4B1-D2D5439CC3C4}"/>
    <cellStyle name="20% - Accent1 4 6" xfId="3936" xr:uid="{BF909C9C-2964-48D5-B9EB-28789416AF97}"/>
    <cellStyle name="20% - Accent1 4 6 2" xfId="8238" xr:uid="{E4890F62-D212-47E9-BD6E-4DFEDF94C497}"/>
    <cellStyle name="20% - Accent1 4 7" xfId="6172" xr:uid="{F98C76CC-D9F9-485B-9EE1-5D33E27CABB6}"/>
    <cellStyle name="20% - Accent1 4 8" xfId="1868" xr:uid="{DF8BDF94-6CB8-4260-8688-084CFD8405BD}"/>
    <cellStyle name="20% - Accent1 4 9" xfId="1039" xr:uid="{AE720D82-637D-4764-B42C-ED640F047224}"/>
    <cellStyle name="20% - Accent1 5" xfId="578" xr:uid="{00000000-0005-0000-0000-00000F000000}"/>
    <cellStyle name="20% - Accent1 5 2" xfId="4506" xr:uid="{2D6871C4-12D8-4DB1-AA0B-5968D2CD464F}"/>
    <cellStyle name="20% - Accent1 5 2 2" xfId="8724" xr:uid="{E93A54A7-89A7-456D-A295-9C2C30E2010B}"/>
    <cellStyle name="20% - Accent1 5 3" xfId="6579" xr:uid="{2C73E364-972D-4B27-9311-33F76CD0133D}"/>
    <cellStyle name="20% - Accent1 5 4" xfId="2275" xr:uid="{1237378A-2FA1-496B-B284-AB44DB453F2A}"/>
    <cellStyle name="20% - Accent1 5 5" xfId="1448" xr:uid="{C30D605D-822A-45DA-BAC8-DB180E0C1EAA}"/>
    <cellStyle name="20% - Accent1 5 6" xfId="10814" xr:uid="{E0E26B4F-1699-4915-BCE8-BA91A3A08066}"/>
    <cellStyle name="20% - Accent1 6" xfId="2690" xr:uid="{21E72EAA-DEC0-479D-9590-507DA002C556}"/>
    <cellStyle name="20% - Accent1 6 2" xfId="4919" xr:uid="{8CCF6A85-5E4E-41EA-B37A-DDDBFDB6651E}"/>
    <cellStyle name="20% - Accent1 6 2 2" xfId="9137" xr:uid="{E24FE6C9-DEAB-4993-87FA-71019BBA5095}"/>
    <cellStyle name="20% - Accent1 6 3" xfId="6992" xr:uid="{60E16954-7AAE-4A7D-926C-A2BFC5484791}"/>
    <cellStyle name="20% - Accent1 7" xfId="3103" xr:uid="{CA83E1EC-7F8A-48F0-8D2D-C25C9998CF87}"/>
    <cellStyle name="20% - Accent1 7 2" xfId="5332" xr:uid="{5BF9BBC5-58EC-43FB-B1EF-DCA1024D9F31}"/>
    <cellStyle name="20% - Accent1 7 2 2" xfId="9550" xr:uid="{48A18FC3-7FB8-4C0B-AB34-FBC6BBD56B1A}"/>
    <cellStyle name="20% - Accent1 7 3" xfId="7405" xr:uid="{2736C9DD-D70A-4EF4-9EC6-C122C0746EA3}"/>
    <cellStyle name="20% - Accent1 8" xfId="3516" xr:uid="{77B35423-0AD4-4C7F-8831-01ED6AA5C9EB}"/>
    <cellStyle name="20% - Accent1 8 2" xfId="5745" xr:uid="{E4F5586E-3D14-41EE-BFD2-2C3E6FA48994}"/>
    <cellStyle name="20% - Accent1 8 2 2" xfId="9963" xr:uid="{A3058960-5C7A-4AF5-A4CA-8BEFB49085B0}"/>
    <cellStyle name="20% - Accent1 8 3" xfId="7818" xr:uid="{2DD2C406-8C4E-41BC-A923-35BE2523095E}"/>
    <cellStyle name="20% - Accent1 9" xfId="3929" xr:uid="{9E5226F4-7362-4ABA-B5B3-D9B5ED64F560}"/>
    <cellStyle name="20% - Accent1 9 2" xfId="8231" xr:uid="{497955C6-33BB-4264-82C5-B862FE52751B}"/>
    <cellStyle name="20% - Accent2" xfId="9" builtinId="34" customBuiltin="1"/>
    <cellStyle name="20% - Accent2 10" xfId="6173" xr:uid="{65AAAEBD-1196-4D3A-824C-087C74A8F77A}"/>
    <cellStyle name="20% - Accent2 11" xfId="1869" xr:uid="{1F175992-BA63-4FBB-9AB2-EA6BEE4347E4}"/>
    <cellStyle name="20% - Accent2 12" xfId="1040" xr:uid="{7C77259E-C633-484E-862F-F6AEF165FC9A}"/>
    <cellStyle name="20% - Accent2 13" xfId="10406" xr:uid="{58C6B798-2CAF-4774-89D3-1E7D347CD07A}"/>
    <cellStyle name="20% - Accent2 2" xfId="10" xr:uid="{00000000-0005-0000-0000-000011000000}"/>
    <cellStyle name="20% - Accent2 2 10" xfId="1870" xr:uid="{3C9E1004-8805-4449-8C18-FDC44D8BAF67}"/>
    <cellStyle name="20% - Accent2 2 11" xfId="1041" xr:uid="{ADB2AFA7-FE76-4B34-B420-6BA04B9BCFCA}"/>
    <cellStyle name="20% - Accent2 2 12" xfId="10407" xr:uid="{74677804-3C60-4AF1-A76A-8FA4AC5AC537}"/>
    <cellStyle name="20% - Accent2 2 2" xfId="11" xr:uid="{00000000-0005-0000-0000-000012000000}"/>
    <cellStyle name="20% - Accent2 2 2 10" xfId="1042" xr:uid="{F71EE1A1-A1A3-4D3A-B64B-63F61E6D4738}"/>
    <cellStyle name="20% - Accent2 2 2 11" xfId="10408" xr:uid="{98FF47D8-4B3C-452B-A38A-CEA047A9CBF4}"/>
    <cellStyle name="20% - Accent2 2 2 2" xfId="12" xr:uid="{00000000-0005-0000-0000-000013000000}"/>
    <cellStyle name="20% - Accent2 2 2 2 10" xfId="10409" xr:uid="{C16A8465-F661-49A4-863A-561A256E4317}"/>
    <cellStyle name="20% - Accent2 2 2 2 2" xfId="589" xr:uid="{00000000-0005-0000-0000-000014000000}"/>
    <cellStyle name="20% - Accent2 2 2 2 2 2" xfId="4517" xr:uid="{2A388702-5F6A-4F7D-B790-745E71669F88}"/>
    <cellStyle name="20% - Accent2 2 2 2 2 2 2" xfId="8735" xr:uid="{493B662D-AD83-47E9-A180-E5DB301104FA}"/>
    <cellStyle name="20% - Accent2 2 2 2 2 3" xfId="6590" xr:uid="{8BB8F0C2-44DE-485E-B7DB-E3D14DE259A6}"/>
    <cellStyle name="20% - Accent2 2 2 2 2 4" xfId="2286" xr:uid="{5379358F-1D9E-41BE-8539-B6683545A4B8}"/>
    <cellStyle name="20% - Accent2 2 2 2 2 5" xfId="1459" xr:uid="{73EE9900-E219-45F2-A8DA-99179AD5D9DB}"/>
    <cellStyle name="20% - Accent2 2 2 2 2 6" xfId="10825" xr:uid="{BFA10F9A-D16D-4D50-B5D6-1DF7B559C8EB}"/>
    <cellStyle name="20% - Accent2 2 2 2 3" xfId="2701" xr:uid="{BADB7A79-E296-4D72-9D2B-C7C493C301F0}"/>
    <cellStyle name="20% - Accent2 2 2 2 3 2" xfId="4930" xr:uid="{1DB09B67-63BB-4241-8650-7C44885C41B3}"/>
    <cellStyle name="20% - Accent2 2 2 2 3 2 2" xfId="9148" xr:uid="{16E6430D-BDBA-4679-8A5C-D68082E0616F}"/>
    <cellStyle name="20% - Accent2 2 2 2 3 3" xfId="7003" xr:uid="{2C2C3BB0-A145-4B8C-A54D-D246D9646F26}"/>
    <cellStyle name="20% - Accent2 2 2 2 4" xfId="3114" xr:uid="{3F4E9AF9-47C1-4FF6-95FC-BB2A0BC039AC}"/>
    <cellStyle name="20% - Accent2 2 2 2 4 2" xfId="5343" xr:uid="{2EE12A84-DD20-41F0-A023-EDCC32D81881}"/>
    <cellStyle name="20% - Accent2 2 2 2 4 2 2" xfId="9561" xr:uid="{9CA244C4-5E98-44A8-97C6-272F6CD5FB00}"/>
    <cellStyle name="20% - Accent2 2 2 2 4 3" xfId="7416" xr:uid="{D45A3871-D8C8-48F0-8EE4-B64A073AABE6}"/>
    <cellStyle name="20% - Accent2 2 2 2 5" xfId="3527" xr:uid="{6429361A-70F9-45F4-8992-9278B0D69B90}"/>
    <cellStyle name="20% - Accent2 2 2 2 5 2" xfId="5756" xr:uid="{93E30117-59B2-420A-8DF6-B7ABCC9E2611}"/>
    <cellStyle name="20% - Accent2 2 2 2 5 2 2" xfId="9974" xr:uid="{FC60697E-B33D-41B8-AB6F-D9F46A9F7200}"/>
    <cellStyle name="20% - Accent2 2 2 2 5 3" xfId="7829" xr:uid="{5BB09781-B213-4D24-8B40-2DB3BB8EB85A}"/>
    <cellStyle name="20% - Accent2 2 2 2 6" xfId="3940" xr:uid="{40B1D88E-4F92-422C-A072-CF63EAE01AD0}"/>
    <cellStyle name="20% - Accent2 2 2 2 6 2" xfId="8242" xr:uid="{59B226BA-4F6C-4F88-8437-2D3C8ED363EA}"/>
    <cellStyle name="20% - Accent2 2 2 2 7" xfId="6176" xr:uid="{774485EF-734B-4B63-AA13-FB3EBA2CF67D}"/>
    <cellStyle name="20% - Accent2 2 2 2 8" xfId="1872" xr:uid="{A66FB9CF-A368-4EF7-AB7A-E17D276E1AD5}"/>
    <cellStyle name="20% - Accent2 2 2 2 9" xfId="1043" xr:uid="{D3A9A4DB-1F94-404B-A2AC-938843E199CF}"/>
    <cellStyle name="20% - Accent2 2 2 3" xfId="588" xr:uid="{00000000-0005-0000-0000-000015000000}"/>
    <cellStyle name="20% - Accent2 2 2 3 2" xfId="4516" xr:uid="{1A5CCED7-E941-4CDF-81B0-411DE5B9DAA8}"/>
    <cellStyle name="20% - Accent2 2 2 3 2 2" xfId="8734" xr:uid="{D7B25F67-7C7C-4129-9A26-0633E433BB80}"/>
    <cellStyle name="20% - Accent2 2 2 3 3" xfId="6589" xr:uid="{B4E3C0A4-06A5-4D1E-850D-812876EB1657}"/>
    <cellStyle name="20% - Accent2 2 2 3 4" xfId="2285" xr:uid="{DD8D225B-8B86-4279-A447-E2C4222F0582}"/>
    <cellStyle name="20% - Accent2 2 2 3 5" xfId="1458" xr:uid="{48C34E0A-B215-4BB2-AF60-8DC7BC144F0D}"/>
    <cellStyle name="20% - Accent2 2 2 3 6" xfId="10824" xr:uid="{DE489311-1794-46F4-BDD4-4A3A3A471AAA}"/>
    <cellStyle name="20% - Accent2 2 2 4" xfId="2700" xr:uid="{731B7AAA-89E6-4C48-B9EE-BD44025AAD56}"/>
    <cellStyle name="20% - Accent2 2 2 4 2" xfId="4929" xr:uid="{0B80656E-D5DF-4647-AAAD-CAB04750C7C7}"/>
    <cellStyle name="20% - Accent2 2 2 4 2 2" xfId="9147" xr:uid="{A3752E96-BB84-4AA4-A57A-B95D27363FBF}"/>
    <cellStyle name="20% - Accent2 2 2 4 3" xfId="7002" xr:uid="{3F9FA249-34BF-4286-A98A-29E72EEEAC87}"/>
    <cellStyle name="20% - Accent2 2 2 5" xfId="3113" xr:uid="{D1669C31-FE5F-4B36-86CD-0708F5594B3C}"/>
    <cellStyle name="20% - Accent2 2 2 5 2" xfId="5342" xr:uid="{1AB1B634-D335-4EA6-8CF7-F3F89B9B7EBD}"/>
    <cellStyle name="20% - Accent2 2 2 5 2 2" xfId="9560" xr:uid="{107337EE-0712-4C62-B415-48233C7468E3}"/>
    <cellStyle name="20% - Accent2 2 2 5 3" xfId="7415" xr:uid="{3813F923-B568-4A49-88BE-3F6973467BE1}"/>
    <cellStyle name="20% - Accent2 2 2 6" xfId="3526" xr:uid="{86AE6B2B-FBFB-4A40-B434-A0E31A0A5294}"/>
    <cellStyle name="20% - Accent2 2 2 6 2" xfId="5755" xr:uid="{A30A3C2E-D575-42FD-B92A-13AC3A68EE3F}"/>
    <cellStyle name="20% - Accent2 2 2 6 2 2" xfId="9973" xr:uid="{014639DE-BD72-468E-8D6A-F707B7260EB2}"/>
    <cellStyle name="20% - Accent2 2 2 6 3" xfId="7828" xr:uid="{AAF7B146-A0FF-4786-A9A5-A5B61BDE1E2F}"/>
    <cellStyle name="20% - Accent2 2 2 7" xfId="3939" xr:uid="{448FA0C1-4740-4E89-A390-E8032CDC178A}"/>
    <cellStyle name="20% - Accent2 2 2 7 2" xfId="8241" xr:uid="{C28BA1F4-2D21-4D00-A86E-4EB1A61D3748}"/>
    <cellStyle name="20% - Accent2 2 2 8" xfId="6175" xr:uid="{B70C0360-F730-405E-901E-ECA2ECE0BA13}"/>
    <cellStyle name="20% - Accent2 2 2 9" xfId="1871" xr:uid="{38CDA601-D68E-4084-8E0C-909CE497725D}"/>
    <cellStyle name="20% - Accent2 2 3" xfId="13" xr:uid="{00000000-0005-0000-0000-000016000000}"/>
    <cellStyle name="20% - Accent2 2 3 10" xfId="10410" xr:uid="{DB318314-488C-45F4-B92C-0A0248D60A3B}"/>
    <cellStyle name="20% - Accent2 2 3 2" xfId="590" xr:uid="{00000000-0005-0000-0000-000017000000}"/>
    <cellStyle name="20% - Accent2 2 3 2 2" xfId="4518" xr:uid="{E1D0DD3D-0C0D-487A-811C-25C36AABC1A7}"/>
    <cellStyle name="20% - Accent2 2 3 2 2 2" xfId="8736" xr:uid="{EE081665-5688-4565-8CF5-51AF492DFFDD}"/>
    <cellStyle name="20% - Accent2 2 3 2 3" xfId="6591" xr:uid="{A26C6444-BDC8-4949-9256-B3D6A6AB106B}"/>
    <cellStyle name="20% - Accent2 2 3 2 4" xfId="2287" xr:uid="{2C869148-9CFE-4390-8DD5-99476E1B0157}"/>
    <cellStyle name="20% - Accent2 2 3 2 5" xfId="1460" xr:uid="{268CE102-EC2F-4A40-98DF-1361B086E594}"/>
    <cellStyle name="20% - Accent2 2 3 2 6" xfId="10826" xr:uid="{41E28924-6DA9-4A28-A9D5-B466563E3CC7}"/>
    <cellStyle name="20% - Accent2 2 3 3" xfId="2702" xr:uid="{C6287683-FB0C-4A07-801E-88E2068E580E}"/>
    <cellStyle name="20% - Accent2 2 3 3 2" xfId="4931" xr:uid="{58937E3D-21FA-46C8-806F-D292813B481E}"/>
    <cellStyle name="20% - Accent2 2 3 3 2 2" xfId="9149" xr:uid="{F4D257DB-D1F8-41A8-9D6C-E798C64F8782}"/>
    <cellStyle name="20% - Accent2 2 3 3 3" xfId="7004" xr:uid="{278FF7FC-5C4F-4E03-8B27-A256DB55B916}"/>
    <cellStyle name="20% - Accent2 2 3 4" xfId="3115" xr:uid="{E43E17DC-149C-4325-83D5-472AFD29B66B}"/>
    <cellStyle name="20% - Accent2 2 3 4 2" xfId="5344" xr:uid="{9036A1D5-2B63-4B88-91C2-31074AC3CC73}"/>
    <cellStyle name="20% - Accent2 2 3 4 2 2" xfId="9562" xr:uid="{045EF95B-C77F-4E9B-BC56-D1E6B4C2DE1A}"/>
    <cellStyle name="20% - Accent2 2 3 4 3" xfId="7417" xr:uid="{EE0BC191-A922-45F8-A621-96DA70DD1E8D}"/>
    <cellStyle name="20% - Accent2 2 3 5" xfId="3528" xr:uid="{1FC2F267-456B-466C-9A14-DC49712D9684}"/>
    <cellStyle name="20% - Accent2 2 3 5 2" xfId="5757" xr:uid="{388E392B-81EA-482C-B4A8-485F8E216B0F}"/>
    <cellStyle name="20% - Accent2 2 3 5 2 2" xfId="9975" xr:uid="{EBCC91DA-2205-4BB8-9367-1EA7C566B0FB}"/>
    <cellStyle name="20% - Accent2 2 3 5 3" xfId="7830" xr:uid="{FBBA1946-92EE-4789-93CA-2EF0C8A05119}"/>
    <cellStyle name="20% - Accent2 2 3 6" xfId="3941" xr:uid="{65B9F7E1-8BA6-4662-8778-7A587A8C7AFD}"/>
    <cellStyle name="20% - Accent2 2 3 6 2" xfId="8243" xr:uid="{3B2561BA-5CF2-4FF2-AD34-C2B89A06603E}"/>
    <cellStyle name="20% - Accent2 2 3 7" xfId="6177" xr:uid="{27F6CB57-E2F9-40F7-ABC0-05D30331BD91}"/>
    <cellStyle name="20% - Accent2 2 3 8" xfId="1873" xr:uid="{5F4E6DB2-F25B-4015-B179-D43716EB7725}"/>
    <cellStyle name="20% - Accent2 2 3 9" xfId="1044" xr:uid="{CBD0DE3B-3036-4CBD-BAF1-093ECB9BC8C3}"/>
    <cellStyle name="20% - Accent2 2 4" xfId="587" xr:uid="{00000000-0005-0000-0000-000018000000}"/>
    <cellStyle name="20% - Accent2 2 4 2" xfId="4515" xr:uid="{03C83265-E84B-42F8-8321-8238008590CB}"/>
    <cellStyle name="20% - Accent2 2 4 2 2" xfId="8733" xr:uid="{D05F6E91-5AC6-42BC-9D71-ED306308681C}"/>
    <cellStyle name="20% - Accent2 2 4 3" xfId="6588" xr:uid="{1CE17EFA-6990-49D6-A25F-0572CF60A3F3}"/>
    <cellStyle name="20% - Accent2 2 4 4" xfId="2284" xr:uid="{C474B8F9-0483-451A-BEDA-748F3525B053}"/>
    <cellStyle name="20% - Accent2 2 4 5" xfId="1457" xr:uid="{FEB237B0-AC4A-4171-BD34-E8E0A05DC7D0}"/>
    <cellStyle name="20% - Accent2 2 4 6" xfId="10823" xr:uid="{71C3E8B7-2508-40AD-8A0C-A7DCC7D1D746}"/>
    <cellStyle name="20% - Accent2 2 5" xfId="2699" xr:uid="{EE6622D9-0F74-487D-A96E-5688BA8D2883}"/>
    <cellStyle name="20% - Accent2 2 5 2" xfId="4928" xr:uid="{3CDEE650-914C-4634-BD9F-08BB22F2225E}"/>
    <cellStyle name="20% - Accent2 2 5 2 2" xfId="9146" xr:uid="{EFE6911B-22BD-4CC4-ABFA-9F38988719C6}"/>
    <cellStyle name="20% - Accent2 2 5 3" xfId="7001" xr:uid="{D219B83A-D759-4CE7-94D8-BA251CE36CEA}"/>
    <cellStyle name="20% - Accent2 2 6" xfId="3112" xr:uid="{0603BC63-A664-4BFB-A688-A4B10DA84FDE}"/>
    <cellStyle name="20% - Accent2 2 6 2" xfId="5341" xr:uid="{3726A41D-1E8C-4049-B771-DE85DA2950FE}"/>
    <cellStyle name="20% - Accent2 2 6 2 2" xfId="9559" xr:uid="{31A87500-3636-4975-A7DE-FE21322FB7C5}"/>
    <cellStyle name="20% - Accent2 2 6 3" xfId="7414" xr:uid="{248C6F85-93F8-48D5-82E7-F92CDBF623ED}"/>
    <cellStyle name="20% - Accent2 2 7" xfId="3525" xr:uid="{9F20D5DF-D4F8-4EB2-B902-59F665BD9E76}"/>
    <cellStyle name="20% - Accent2 2 7 2" xfId="5754" xr:uid="{E0EBF8BD-4421-4F96-9F48-A4239D06BE35}"/>
    <cellStyle name="20% - Accent2 2 7 2 2" xfId="9972" xr:uid="{92A51EE3-084D-4941-8166-10C988B34175}"/>
    <cellStyle name="20% - Accent2 2 7 3" xfId="7827" xr:uid="{52B17A2A-388D-4C79-A35F-36DBDB114ACF}"/>
    <cellStyle name="20% - Accent2 2 8" xfId="3938" xr:uid="{4FC736EE-29F6-4074-8C2F-FB5B81771EFE}"/>
    <cellStyle name="20% - Accent2 2 8 2" xfId="8240" xr:uid="{78974CBC-E9B5-48DE-83FF-19257D587E3D}"/>
    <cellStyle name="20% - Accent2 2 9" xfId="6174" xr:uid="{104D5AAF-4C88-4E25-9C9C-21265918AAAC}"/>
    <cellStyle name="20% - Accent2 3" xfId="14" xr:uid="{00000000-0005-0000-0000-000019000000}"/>
    <cellStyle name="20% - Accent2 3 10" xfId="1045" xr:uid="{848297FF-3A04-47DA-897A-34465FF0A192}"/>
    <cellStyle name="20% - Accent2 3 11" xfId="10411" xr:uid="{DB77C59A-14C3-4DA0-AAE2-5287CE6DF1CD}"/>
    <cellStyle name="20% - Accent2 3 2" xfId="15" xr:uid="{00000000-0005-0000-0000-00001A000000}"/>
    <cellStyle name="20% - Accent2 3 2 10" xfId="10412" xr:uid="{3CA7B71E-86CB-42EC-AAB6-570B09A89450}"/>
    <cellStyle name="20% - Accent2 3 2 2" xfId="592" xr:uid="{00000000-0005-0000-0000-00001B000000}"/>
    <cellStyle name="20% - Accent2 3 2 2 2" xfId="4520" xr:uid="{D4F371DD-5641-4DF0-811D-C1A93D1026EE}"/>
    <cellStyle name="20% - Accent2 3 2 2 2 2" xfId="8738" xr:uid="{7B9C902E-F9C4-41E5-8F1B-E4F3A86B5F1B}"/>
    <cellStyle name="20% - Accent2 3 2 2 3" xfId="6593" xr:uid="{51841DC4-24B5-43E5-BDE4-2E839490343A}"/>
    <cellStyle name="20% - Accent2 3 2 2 4" xfId="2289" xr:uid="{47B12F38-1067-4FA2-96F2-4D2527B3EA16}"/>
    <cellStyle name="20% - Accent2 3 2 2 5" xfId="1462" xr:uid="{E2BA356B-0AD0-4398-A24C-0D97063F1395}"/>
    <cellStyle name="20% - Accent2 3 2 2 6" xfId="10828" xr:uid="{06E1CC80-30FE-441E-9186-0FF69EB937E9}"/>
    <cellStyle name="20% - Accent2 3 2 3" xfId="2704" xr:uid="{4DA41098-9C76-4DEE-BC0A-178C685D8614}"/>
    <cellStyle name="20% - Accent2 3 2 3 2" xfId="4933" xr:uid="{86B9A9D5-0756-49B9-AB3A-5B63C0B185B2}"/>
    <cellStyle name="20% - Accent2 3 2 3 2 2" xfId="9151" xr:uid="{A21524CF-0FD3-4908-894A-823C227CD005}"/>
    <cellStyle name="20% - Accent2 3 2 3 3" xfId="7006" xr:uid="{F8AAD7A3-113C-4BCD-83D1-A87CC1F9D8C1}"/>
    <cellStyle name="20% - Accent2 3 2 4" xfId="3117" xr:uid="{6DD632E9-A563-427B-9840-D960A960BD83}"/>
    <cellStyle name="20% - Accent2 3 2 4 2" xfId="5346" xr:uid="{728F709C-8060-48B3-9D11-E1257C9063B4}"/>
    <cellStyle name="20% - Accent2 3 2 4 2 2" xfId="9564" xr:uid="{0E2A8E9E-410E-4440-B88E-64002E15C349}"/>
    <cellStyle name="20% - Accent2 3 2 4 3" xfId="7419" xr:uid="{8D0F20DF-AA1E-4846-A57E-7199D769B78E}"/>
    <cellStyle name="20% - Accent2 3 2 5" xfId="3530" xr:uid="{33FDAB76-FC70-428B-BE0B-D838F12A0012}"/>
    <cellStyle name="20% - Accent2 3 2 5 2" xfId="5759" xr:uid="{65D51666-2810-4765-B676-C6B90625C7E8}"/>
    <cellStyle name="20% - Accent2 3 2 5 2 2" xfId="9977" xr:uid="{C3E07CAE-CBB0-4509-8E16-DF445D069F95}"/>
    <cellStyle name="20% - Accent2 3 2 5 3" xfId="7832" xr:uid="{E56A1714-6A13-4620-B00A-D1EA7A390476}"/>
    <cellStyle name="20% - Accent2 3 2 6" xfId="3943" xr:uid="{A2E73393-9860-4EDF-9DCD-0489E371FEF6}"/>
    <cellStyle name="20% - Accent2 3 2 6 2" xfId="8245" xr:uid="{B0372FC0-D197-4B80-B6C0-0D6C3B0EE778}"/>
    <cellStyle name="20% - Accent2 3 2 7" xfId="6179" xr:uid="{183883E8-B2F2-4FAA-95B4-AFC5D0876FA0}"/>
    <cellStyle name="20% - Accent2 3 2 8" xfId="1875" xr:uid="{F7089FC0-18B9-404F-AF3A-D888E31E9F4F}"/>
    <cellStyle name="20% - Accent2 3 2 9" xfId="1046" xr:uid="{76C03A0F-1738-497B-AF5F-4756F0B3E810}"/>
    <cellStyle name="20% - Accent2 3 3" xfId="591" xr:uid="{00000000-0005-0000-0000-00001C000000}"/>
    <cellStyle name="20% - Accent2 3 3 2" xfId="4519" xr:uid="{8A151699-524A-41FD-AF41-1258D1BB1507}"/>
    <cellStyle name="20% - Accent2 3 3 2 2" xfId="8737" xr:uid="{1A499DD9-6727-4CD6-B2F9-13BD27D81AF4}"/>
    <cellStyle name="20% - Accent2 3 3 3" xfId="6592" xr:uid="{FF24B513-A319-4C92-97A9-93AB7257F3A4}"/>
    <cellStyle name="20% - Accent2 3 3 4" xfId="2288" xr:uid="{1E5A2756-235D-4ED9-9551-FDE8183251D3}"/>
    <cellStyle name="20% - Accent2 3 3 5" xfId="1461" xr:uid="{42949FC8-5227-4FAD-B93F-D775D68EE2F7}"/>
    <cellStyle name="20% - Accent2 3 3 6" xfId="10827" xr:uid="{929826E6-FAA4-4E06-97B8-54C653EA0498}"/>
    <cellStyle name="20% - Accent2 3 4" xfId="2703" xr:uid="{B9D091A6-F5AC-46EF-8402-FEC500622AED}"/>
    <cellStyle name="20% - Accent2 3 4 2" xfId="4932" xr:uid="{B204DC1C-1A63-464C-B8AB-DFA3B5B8180E}"/>
    <cellStyle name="20% - Accent2 3 4 2 2" xfId="9150" xr:uid="{B9416FAD-C4F0-4123-A16D-21A5E2EB23B8}"/>
    <cellStyle name="20% - Accent2 3 4 3" xfId="7005" xr:uid="{C39A4AE3-4D1E-488B-8391-E57BB9227E4E}"/>
    <cellStyle name="20% - Accent2 3 5" xfId="3116" xr:uid="{97086A8A-6AF1-4FA1-B973-EC531B7F2880}"/>
    <cellStyle name="20% - Accent2 3 5 2" xfId="5345" xr:uid="{993B451A-B2E0-4A7B-B702-8DED3517D3BF}"/>
    <cellStyle name="20% - Accent2 3 5 2 2" xfId="9563" xr:uid="{DD5B0B8A-48C6-4580-93CA-535466AE4EB0}"/>
    <cellStyle name="20% - Accent2 3 5 3" xfId="7418" xr:uid="{C88FA487-0B65-4815-8594-BA1639AB2CD6}"/>
    <cellStyle name="20% - Accent2 3 6" xfId="3529" xr:uid="{51B2B3CF-0906-4EB1-A971-89EC873E0F63}"/>
    <cellStyle name="20% - Accent2 3 6 2" xfId="5758" xr:uid="{452EB7E5-5057-4E80-94A0-2AA370E44BC5}"/>
    <cellStyle name="20% - Accent2 3 6 2 2" xfId="9976" xr:uid="{1FB8B320-EBB0-42BF-A4A0-5CBDB2FB8390}"/>
    <cellStyle name="20% - Accent2 3 6 3" xfId="7831" xr:uid="{C89D5B78-D40F-4BB3-ACE3-45435BCEAB7D}"/>
    <cellStyle name="20% - Accent2 3 7" xfId="3942" xr:uid="{DD4F2BDB-7FF7-4C66-BD86-9125CA3C28B8}"/>
    <cellStyle name="20% - Accent2 3 7 2" xfId="8244" xr:uid="{01873DD8-875B-416F-8DAA-5117B22A0F76}"/>
    <cellStyle name="20% - Accent2 3 8" xfId="6178" xr:uid="{B4091AFF-2DF8-438A-8674-42974A545DE8}"/>
    <cellStyle name="20% - Accent2 3 9" xfId="1874" xr:uid="{9A3F32B0-4F6C-497D-9D1F-820D73A6DBC3}"/>
    <cellStyle name="20% - Accent2 4" xfId="16" xr:uid="{00000000-0005-0000-0000-00001D000000}"/>
    <cellStyle name="20% - Accent2 4 10" xfId="10413" xr:uid="{24EA79AA-CD96-4F9A-88B8-1504BB9261C3}"/>
    <cellStyle name="20% - Accent2 4 2" xfId="593" xr:uid="{00000000-0005-0000-0000-00001E000000}"/>
    <cellStyle name="20% - Accent2 4 2 2" xfId="4521" xr:uid="{B055BE7D-53BC-4736-B791-7416371577FE}"/>
    <cellStyle name="20% - Accent2 4 2 2 2" xfId="8739" xr:uid="{FD38B9A7-9B9B-461B-A9DC-22D66287072E}"/>
    <cellStyle name="20% - Accent2 4 2 3" xfId="6594" xr:uid="{C7F16155-3F47-4F30-9D6D-B9457E35D1EF}"/>
    <cellStyle name="20% - Accent2 4 2 4" xfId="2290" xr:uid="{851D5D6D-E50A-4A59-8233-9741FFE9EB6E}"/>
    <cellStyle name="20% - Accent2 4 2 5" xfId="1463" xr:uid="{2CD56C91-964B-4230-9DA8-7C3A2466D28E}"/>
    <cellStyle name="20% - Accent2 4 2 6" xfId="10829" xr:uid="{ACA795C2-3D65-4ED9-9C35-521E30DCEF28}"/>
    <cellStyle name="20% - Accent2 4 3" xfId="2705" xr:uid="{8E1E531C-F6CE-408F-B18C-4849355C5259}"/>
    <cellStyle name="20% - Accent2 4 3 2" xfId="4934" xr:uid="{C7942445-15D9-4998-90FB-66586704C65B}"/>
    <cellStyle name="20% - Accent2 4 3 2 2" xfId="9152" xr:uid="{987123EE-5FB9-40FF-AD75-975A955B81BC}"/>
    <cellStyle name="20% - Accent2 4 3 3" xfId="7007" xr:uid="{212F7A2F-D1D7-48C2-98FB-C51104823C21}"/>
    <cellStyle name="20% - Accent2 4 4" xfId="3118" xr:uid="{89F128E5-736B-40B6-8516-4A84CDC125FC}"/>
    <cellStyle name="20% - Accent2 4 4 2" xfId="5347" xr:uid="{5B675C4D-77F8-4071-9B5D-FB013F61DE79}"/>
    <cellStyle name="20% - Accent2 4 4 2 2" xfId="9565" xr:uid="{C71542F9-EE15-4FA3-9883-D6E0C5DD9515}"/>
    <cellStyle name="20% - Accent2 4 4 3" xfId="7420" xr:uid="{11F7759E-7B5C-4D50-BE5D-07D494F6D6A9}"/>
    <cellStyle name="20% - Accent2 4 5" xfId="3531" xr:uid="{4DD9BA3C-A264-4DF2-B1B5-B2907C02A3DE}"/>
    <cellStyle name="20% - Accent2 4 5 2" xfId="5760" xr:uid="{A88EB327-E907-4368-B401-F5A7F2A6B256}"/>
    <cellStyle name="20% - Accent2 4 5 2 2" xfId="9978" xr:uid="{9F509628-6301-481A-86D1-71BCCDC4B911}"/>
    <cellStyle name="20% - Accent2 4 5 3" xfId="7833" xr:uid="{8B59E514-BF74-4EB8-83B6-B3AEBC852DF7}"/>
    <cellStyle name="20% - Accent2 4 6" xfId="3944" xr:uid="{19E9A9CE-3832-4C3F-859E-148F218B8EDC}"/>
    <cellStyle name="20% - Accent2 4 6 2" xfId="8246" xr:uid="{D1338177-1C45-4096-82F9-CB96816C78BD}"/>
    <cellStyle name="20% - Accent2 4 7" xfId="6180" xr:uid="{A37420D9-6EC8-41F8-8ACF-1CBA69F5F488}"/>
    <cellStyle name="20% - Accent2 4 8" xfId="1876" xr:uid="{9365F6D8-3174-4585-A783-B182B666BE7B}"/>
    <cellStyle name="20% - Accent2 4 9" xfId="1047" xr:uid="{74036037-8071-44CD-99FF-7758E795F71B}"/>
    <cellStyle name="20% - Accent2 5" xfId="586" xr:uid="{00000000-0005-0000-0000-00001F000000}"/>
    <cellStyle name="20% - Accent2 5 2" xfId="4514" xr:uid="{72B1C846-3D66-44F8-B707-DBAEFB43EC24}"/>
    <cellStyle name="20% - Accent2 5 2 2" xfId="8732" xr:uid="{F7977875-0AAD-4A30-8DD9-62A5A7085B87}"/>
    <cellStyle name="20% - Accent2 5 3" xfId="6587" xr:uid="{83C92D4B-B649-4E8C-875F-E9E7B5434099}"/>
    <cellStyle name="20% - Accent2 5 4" xfId="2283" xr:uid="{56420C4A-77F8-4725-A3FA-12DBC886E406}"/>
    <cellStyle name="20% - Accent2 5 5" xfId="1456" xr:uid="{C49CBA19-0D55-4E62-BA6E-FB536C1C8C8B}"/>
    <cellStyle name="20% - Accent2 5 6" xfId="10822" xr:uid="{A7088CB1-C954-414F-AC3B-ECD782016556}"/>
    <cellStyle name="20% - Accent2 6" xfId="2698" xr:uid="{AF5FE766-E65D-432F-83AE-3AA5993EF917}"/>
    <cellStyle name="20% - Accent2 6 2" xfId="4927" xr:uid="{9365EEAC-681E-4C4D-A1CC-DBC7C34AD4CE}"/>
    <cellStyle name="20% - Accent2 6 2 2" xfId="9145" xr:uid="{0C44C0B3-098B-41C1-B726-1B33D7D31239}"/>
    <cellStyle name="20% - Accent2 6 3" xfId="7000" xr:uid="{15519170-4255-4F1F-A986-B26348BDC4F9}"/>
    <cellStyle name="20% - Accent2 7" xfId="3111" xr:uid="{8BE105CF-56D0-427B-8DFB-D8D7355FC942}"/>
    <cellStyle name="20% - Accent2 7 2" xfId="5340" xr:uid="{DEECF878-1A55-4FE5-924E-C5429B3333E1}"/>
    <cellStyle name="20% - Accent2 7 2 2" xfId="9558" xr:uid="{4FA724DC-8955-41EC-B171-7DD02E9A2697}"/>
    <cellStyle name="20% - Accent2 7 3" xfId="7413" xr:uid="{60EBC801-3126-4B68-87A7-71FA0C6A106D}"/>
    <cellStyle name="20% - Accent2 8" xfId="3524" xr:uid="{55100B41-506F-4BCF-9C94-3636EC38EBE8}"/>
    <cellStyle name="20% - Accent2 8 2" xfId="5753" xr:uid="{4D02ED3A-848F-43BC-A612-DA42EE0234F7}"/>
    <cellStyle name="20% - Accent2 8 2 2" xfId="9971" xr:uid="{DAD2DE88-625D-4222-B095-C564E7784483}"/>
    <cellStyle name="20% - Accent2 8 3" xfId="7826" xr:uid="{CC7E962A-64F5-4EFC-9A40-C0250A72C16B}"/>
    <cellStyle name="20% - Accent2 9" xfId="3937" xr:uid="{2151BA21-6BA4-4DDA-97BD-836CEDC4B59D}"/>
    <cellStyle name="20% - Accent2 9 2" xfId="8239" xr:uid="{281A5C8E-D7FE-4A06-BFF0-B1B4E58C41DB}"/>
    <cellStyle name="20% - Accent3" xfId="17" builtinId="38" customBuiltin="1"/>
    <cellStyle name="20% - Accent3 10" xfId="6181" xr:uid="{494DD08D-E2A7-4CA3-A671-2402A4C41479}"/>
    <cellStyle name="20% - Accent3 11" xfId="1877" xr:uid="{95E0DD79-7CE1-4969-9BBD-7376E4836495}"/>
    <cellStyle name="20% - Accent3 12" xfId="1048" xr:uid="{672FF78E-04C5-4E39-A9AF-1F2BC528D1DE}"/>
    <cellStyle name="20% - Accent3 13" xfId="10414" xr:uid="{F90CEA9F-4700-49EC-94DF-8C39F5F6FE68}"/>
    <cellStyle name="20% - Accent3 2" xfId="18" xr:uid="{00000000-0005-0000-0000-000021000000}"/>
    <cellStyle name="20% - Accent3 2 10" xfId="1878" xr:uid="{88E265DC-4200-4C34-8CC2-DBABB7DBA58F}"/>
    <cellStyle name="20% - Accent3 2 11" xfId="1049" xr:uid="{0753CEB0-7321-4921-A3A7-3237F6280253}"/>
    <cellStyle name="20% - Accent3 2 12" xfId="10415" xr:uid="{5E0C80C1-034E-402B-9D76-E70EC8585EFD}"/>
    <cellStyle name="20% - Accent3 2 2" xfId="19" xr:uid="{00000000-0005-0000-0000-000022000000}"/>
    <cellStyle name="20% - Accent3 2 2 10" xfId="1050" xr:uid="{155401F3-28EB-4A4E-84C2-0F034D0B6A87}"/>
    <cellStyle name="20% - Accent3 2 2 11" xfId="10416" xr:uid="{5D3AF51E-CE80-4598-8D5F-37F3493EFEB0}"/>
    <cellStyle name="20% - Accent3 2 2 2" xfId="20" xr:uid="{00000000-0005-0000-0000-000023000000}"/>
    <cellStyle name="20% - Accent3 2 2 2 10" xfId="10417" xr:uid="{EE4145F0-8473-4EE7-B3A4-1C11594260F5}"/>
    <cellStyle name="20% - Accent3 2 2 2 2" xfId="597" xr:uid="{00000000-0005-0000-0000-000024000000}"/>
    <cellStyle name="20% - Accent3 2 2 2 2 2" xfId="4525" xr:uid="{0FAF8C75-52D7-4F95-84BC-F2F0ED9AB540}"/>
    <cellStyle name="20% - Accent3 2 2 2 2 2 2" xfId="8743" xr:uid="{580765E9-3956-4C1E-BBA7-7D3A4CE784B7}"/>
    <cellStyle name="20% - Accent3 2 2 2 2 3" xfId="6598" xr:uid="{757E80F8-83F0-45FD-9ECF-941BE326FBD6}"/>
    <cellStyle name="20% - Accent3 2 2 2 2 4" xfId="2294" xr:uid="{4B843ECC-9BF5-4382-996B-8B1FEF6212BA}"/>
    <cellStyle name="20% - Accent3 2 2 2 2 5" xfId="1467" xr:uid="{0BF0730C-4E7E-4F47-B80F-E1CCCB16CFA3}"/>
    <cellStyle name="20% - Accent3 2 2 2 2 6" xfId="10833" xr:uid="{29760D68-512F-45B6-B180-D692AEB2CB1F}"/>
    <cellStyle name="20% - Accent3 2 2 2 3" xfId="2709" xr:uid="{83FA40CA-360D-437B-99C2-C8AE9C176A98}"/>
    <cellStyle name="20% - Accent3 2 2 2 3 2" xfId="4938" xr:uid="{F7168BD2-ECC9-4E02-87CC-C1E3AEC8719C}"/>
    <cellStyle name="20% - Accent3 2 2 2 3 2 2" xfId="9156" xr:uid="{D91233A8-D6EC-4A34-AB71-3623C9B0C8BE}"/>
    <cellStyle name="20% - Accent3 2 2 2 3 3" xfId="7011" xr:uid="{29CD5EBA-0663-4E44-A9F9-BC8CB5C918DE}"/>
    <cellStyle name="20% - Accent3 2 2 2 4" xfId="3122" xr:uid="{52DDC521-5AAC-4806-A2FE-24B8FE1240A1}"/>
    <cellStyle name="20% - Accent3 2 2 2 4 2" xfId="5351" xr:uid="{14A818AF-33FF-4032-A446-17A3AA5BA97B}"/>
    <cellStyle name="20% - Accent3 2 2 2 4 2 2" xfId="9569" xr:uid="{6B945B35-80BE-453C-98E2-79174198A5D0}"/>
    <cellStyle name="20% - Accent3 2 2 2 4 3" xfId="7424" xr:uid="{C33130B4-C964-4814-8B7F-2EADF6158C94}"/>
    <cellStyle name="20% - Accent3 2 2 2 5" xfId="3535" xr:uid="{3968F128-1FDD-4AD1-B6E5-533D48007997}"/>
    <cellStyle name="20% - Accent3 2 2 2 5 2" xfId="5764" xr:uid="{440B8CA8-032F-4EC4-9A26-7745FD6FC0DA}"/>
    <cellStyle name="20% - Accent3 2 2 2 5 2 2" xfId="9982" xr:uid="{21EF8AF9-BF0A-463C-8B96-8062576765E5}"/>
    <cellStyle name="20% - Accent3 2 2 2 5 3" xfId="7837" xr:uid="{8EF06A02-E3D9-43DD-86C3-1F1656D9CA95}"/>
    <cellStyle name="20% - Accent3 2 2 2 6" xfId="3948" xr:uid="{D1BBBBD1-DE1D-4E36-9BA5-24CB062D2128}"/>
    <cellStyle name="20% - Accent3 2 2 2 6 2" xfId="8250" xr:uid="{B5005D3A-05E1-443D-9755-D203BD56CC8C}"/>
    <cellStyle name="20% - Accent3 2 2 2 7" xfId="6184" xr:uid="{7D5A22FA-548A-4FFA-ADA6-39DDE51C39DD}"/>
    <cellStyle name="20% - Accent3 2 2 2 8" xfId="1880" xr:uid="{20F017AB-E28A-4EC0-B05B-A8BB8F9B906F}"/>
    <cellStyle name="20% - Accent3 2 2 2 9" xfId="1051" xr:uid="{30A50109-FD17-4EBF-8A0C-6C285F46A60F}"/>
    <cellStyle name="20% - Accent3 2 2 3" xfId="596" xr:uid="{00000000-0005-0000-0000-000025000000}"/>
    <cellStyle name="20% - Accent3 2 2 3 2" xfId="4524" xr:uid="{95B3AD75-8D8B-4ED3-9195-09ECA0572B57}"/>
    <cellStyle name="20% - Accent3 2 2 3 2 2" xfId="8742" xr:uid="{D75DE5E1-D428-4139-9741-3EACD516E9C8}"/>
    <cellStyle name="20% - Accent3 2 2 3 3" xfId="6597" xr:uid="{DED37CA9-FB65-4CC9-8B37-D08F66C50F8C}"/>
    <cellStyle name="20% - Accent3 2 2 3 4" xfId="2293" xr:uid="{85216C94-5DD3-4BB1-9FE9-F1B39E69056C}"/>
    <cellStyle name="20% - Accent3 2 2 3 5" xfId="1466" xr:uid="{D12D69D8-2E03-4775-B638-0DA9C50F66FA}"/>
    <cellStyle name="20% - Accent3 2 2 3 6" xfId="10832" xr:uid="{5EC1A262-DC76-4F9B-A37E-06A544D1B745}"/>
    <cellStyle name="20% - Accent3 2 2 4" xfId="2708" xr:uid="{9083F723-A918-4C04-854D-77C0CE54593C}"/>
    <cellStyle name="20% - Accent3 2 2 4 2" xfId="4937" xr:uid="{025AF60D-FFBD-472F-BC48-CFB822E57C9A}"/>
    <cellStyle name="20% - Accent3 2 2 4 2 2" xfId="9155" xr:uid="{83BA1070-3771-4ECD-8B7F-25A7D00D8A35}"/>
    <cellStyle name="20% - Accent3 2 2 4 3" xfId="7010" xr:uid="{42ADBE10-6424-4CFC-96B0-0B5331AC68C5}"/>
    <cellStyle name="20% - Accent3 2 2 5" xfId="3121" xr:uid="{DE900369-202E-48CA-9268-3BD3CA772F39}"/>
    <cellStyle name="20% - Accent3 2 2 5 2" xfId="5350" xr:uid="{84C66A84-39E3-4EEE-A614-85E2916E7957}"/>
    <cellStyle name="20% - Accent3 2 2 5 2 2" xfId="9568" xr:uid="{DB821ABC-C605-4E23-9083-045B96455676}"/>
    <cellStyle name="20% - Accent3 2 2 5 3" xfId="7423" xr:uid="{87835878-2CBB-4C6E-A7C7-380A17BD36F1}"/>
    <cellStyle name="20% - Accent3 2 2 6" xfId="3534" xr:uid="{987CE547-5802-40A3-AEBC-78A13CBBECB2}"/>
    <cellStyle name="20% - Accent3 2 2 6 2" xfId="5763" xr:uid="{05902550-5662-4332-B289-BB6649CDB836}"/>
    <cellStyle name="20% - Accent3 2 2 6 2 2" xfId="9981" xr:uid="{43986CB2-79C0-4E67-8482-1EE9E5658293}"/>
    <cellStyle name="20% - Accent3 2 2 6 3" xfId="7836" xr:uid="{3BC7D739-6CED-4991-8D62-EDC5D75F9241}"/>
    <cellStyle name="20% - Accent3 2 2 7" xfId="3947" xr:uid="{3C788D8C-CADD-4D9C-9A78-2DD56D1DC028}"/>
    <cellStyle name="20% - Accent3 2 2 7 2" xfId="8249" xr:uid="{309E8383-9C1B-4BD2-8B93-8407ECE6FFD2}"/>
    <cellStyle name="20% - Accent3 2 2 8" xfId="6183" xr:uid="{4798F483-5E27-4B4D-8C5F-32ED667C5972}"/>
    <cellStyle name="20% - Accent3 2 2 9" xfId="1879" xr:uid="{F3150CE3-082B-48FA-BE72-EB49E08279EF}"/>
    <cellStyle name="20% - Accent3 2 3" xfId="21" xr:uid="{00000000-0005-0000-0000-000026000000}"/>
    <cellStyle name="20% - Accent3 2 3 10" xfId="10418" xr:uid="{F8F3DEC4-BD51-419E-9D90-CCDA23B43BD5}"/>
    <cellStyle name="20% - Accent3 2 3 2" xfId="598" xr:uid="{00000000-0005-0000-0000-000027000000}"/>
    <cellStyle name="20% - Accent3 2 3 2 2" xfId="4526" xr:uid="{095AE968-BD01-4043-A0DB-67B29B2BD1AF}"/>
    <cellStyle name="20% - Accent3 2 3 2 2 2" xfId="8744" xr:uid="{0779F397-C359-4FAB-B108-646620CDB325}"/>
    <cellStyle name="20% - Accent3 2 3 2 3" xfId="6599" xr:uid="{3FBC7850-883E-4C8A-B71D-632DF6C91DB6}"/>
    <cellStyle name="20% - Accent3 2 3 2 4" xfId="2295" xr:uid="{47D20E61-6588-4C84-890B-5F1F44C88B72}"/>
    <cellStyle name="20% - Accent3 2 3 2 5" xfId="1468" xr:uid="{8627DD5D-7D09-40A8-B7B2-9179FB9CDF45}"/>
    <cellStyle name="20% - Accent3 2 3 2 6" xfId="10834" xr:uid="{D77417D2-75F3-43B2-B8D8-822B95865F39}"/>
    <cellStyle name="20% - Accent3 2 3 3" xfId="2710" xr:uid="{307EC6C3-1C90-4D31-9306-D40E8D2A43B7}"/>
    <cellStyle name="20% - Accent3 2 3 3 2" xfId="4939" xr:uid="{4467DCD5-2FCB-4939-A47F-EB8188572573}"/>
    <cellStyle name="20% - Accent3 2 3 3 2 2" xfId="9157" xr:uid="{D5219A99-4201-40A5-ACA2-C534CA05272F}"/>
    <cellStyle name="20% - Accent3 2 3 3 3" xfId="7012" xr:uid="{E5097E42-68F6-40FC-B544-960A9EC2AF78}"/>
    <cellStyle name="20% - Accent3 2 3 4" xfId="3123" xr:uid="{241CC957-DD9A-4D44-9AAC-58F41A7DE806}"/>
    <cellStyle name="20% - Accent3 2 3 4 2" xfId="5352" xr:uid="{D019A976-96DB-429B-B0E1-A1BB58305D66}"/>
    <cellStyle name="20% - Accent3 2 3 4 2 2" xfId="9570" xr:uid="{55915101-AF79-49E7-A639-23FCECB09F50}"/>
    <cellStyle name="20% - Accent3 2 3 4 3" xfId="7425" xr:uid="{CD512D96-8450-4C29-89EF-1431527EC4E5}"/>
    <cellStyle name="20% - Accent3 2 3 5" xfId="3536" xr:uid="{AEB61901-147D-4894-A538-3A9736191414}"/>
    <cellStyle name="20% - Accent3 2 3 5 2" xfId="5765" xr:uid="{47447E10-C521-4392-BC42-BE33920AD480}"/>
    <cellStyle name="20% - Accent3 2 3 5 2 2" xfId="9983" xr:uid="{2AD0C0FF-0618-4544-B6CA-9CB0800B9345}"/>
    <cellStyle name="20% - Accent3 2 3 5 3" xfId="7838" xr:uid="{F096196E-7B5F-466F-992D-8B4CE4EB8E3A}"/>
    <cellStyle name="20% - Accent3 2 3 6" xfId="3949" xr:uid="{1D37AFC7-BE64-4769-9A82-4BEE5B5CC8D9}"/>
    <cellStyle name="20% - Accent3 2 3 6 2" xfId="8251" xr:uid="{6CFAD98F-F9CA-4774-ADF8-4BEE752D1E9F}"/>
    <cellStyle name="20% - Accent3 2 3 7" xfId="6185" xr:uid="{45EFD29D-2D0D-49B4-B75F-C171C9FC6C4B}"/>
    <cellStyle name="20% - Accent3 2 3 8" xfId="1881" xr:uid="{696EEF62-1908-464C-8FF4-C77F54BD5CBE}"/>
    <cellStyle name="20% - Accent3 2 3 9" xfId="1052" xr:uid="{8037A638-5A61-4F80-BEC6-76D30CA7FA6D}"/>
    <cellStyle name="20% - Accent3 2 4" xfId="595" xr:uid="{00000000-0005-0000-0000-000028000000}"/>
    <cellStyle name="20% - Accent3 2 4 2" xfId="4523" xr:uid="{0E6E65B6-2673-467F-834E-861A0F314D12}"/>
    <cellStyle name="20% - Accent3 2 4 2 2" xfId="8741" xr:uid="{BF31FC1B-1A06-4657-9F9D-EECD45C897F9}"/>
    <cellStyle name="20% - Accent3 2 4 3" xfId="6596" xr:uid="{AA873022-88F6-49B4-AB3A-44B282D15A6A}"/>
    <cellStyle name="20% - Accent3 2 4 4" xfId="2292" xr:uid="{78299673-5A30-4DAE-B33B-848056A917AB}"/>
    <cellStyle name="20% - Accent3 2 4 5" xfId="1465" xr:uid="{C397032B-4418-4AC1-A89E-B698E3AB3F33}"/>
    <cellStyle name="20% - Accent3 2 4 6" xfId="10831" xr:uid="{EB473282-E17D-4928-8F86-8C4894E77B03}"/>
    <cellStyle name="20% - Accent3 2 5" xfId="2707" xr:uid="{D0688D45-FF92-4919-9AA9-4513BFD7D59A}"/>
    <cellStyle name="20% - Accent3 2 5 2" xfId="4936" xr:uid="{6C43326B-8252-4831-869C-7DFC02F9B889}"/>
    <cellStyle name="20% - Accent3 2 5 2 2" xfId="9154" xr:uid="{50DF45A4-63AD-4139-9F64-834BA81B53CD}"/>
    <cellStyle name="20% - Accent3 2 5 3" xfId="7009" xr:uid="{84430449-C7E9-4CCF-BFA9-A5F2EF6891F6}"/>
    <cellStyle name="20% - Accent3 2 6" xfId="3120" xr:uid="{35B3411D-8A3C-4BE5-B3D7-725264EC4C33}"/>
    <cellStyle name="20% - Accent3 2 6 2" xfId="5349" xr:uid="{59FD9D74-FD4B-4636-A632-7F4ADD9EA8FC}"/>
    <cellStyle name="20% - Accent3 2 6 2 2" xfId="9567" xr:uid="{6D76412A-C7AC-48E1-9DBD-7EE708959727}"/>
    <cellStyle name="20% - Accent3 2 6 3" xfId="7422" xr:uid="{8AFA70F9-3F81-407B-9939-57A1E86EAED1}"/>
    <cellStyle name="20% - Accent3 2 7" xfId="3533" xr:uid="{745CA360-497D-4D7E-A166-04BE2E5DFFAF}"/>
    <cellStyle name="20% - Accent3 2 7 2" xfId="5762" xr:uid="{0E8F9F92-FF09-4C4D-AD3A-A2A7B5AAB216}"/>
    <cellStyle name="20% - Accent3 2 7 2 2" xfId="9980" xr:uid="{8F9DB0E3-D80E-49EA-A03D-F93165DBFDBC}"/>
    <cellStyle name="20% - Accent3 2 7 3" xfId="7835" xr:uid="{9CADB9A0-B1E7-43FA-B933-C1F1C5CECF05}"/>
    <cellStyle name="20% - Accent3 2 8" xfId="3946" xr:uid="{41EF93DC-1DE0-4CA8-AE05-E58A51D63783}"/>
    <cellStyle name="20% - Accent3 2 8 2" xfId="8248" xr:uid="{90C94884-69FD-44A2-8811-528AAC4EB048}"/>
    <cellStyle name="20% - Accent3 2 9" xfId="6182" xr:uid="{EFDE5BC2-9CD1-470D-83E3-834BCA56413C}"/>
    <cellStyle name="20% - Accent3 3" xfId="22" xr:uid="{00000000-0005-0000-0000-000029000000}"/>
    <cellStyle name="20% - Accent3 3 10" xfId="1053" xr:uid="{108CD88C-F9E3-4A95-81F6-5309C5B4BFA7}"/>
    <cellStyle name="20% - Accent3 3 11" xfId="10419" xr:uid="{FEE2511C-8D8D-4A45-B337-27D422381A68}"/>
    <cellStyle name="20% - Accent3 3 2" xfId="23" xr:uid="{00000000-0005-0000-0000-00002A000000}"/>
    <cellStyle name="20% - Accent3 3 2 10" xfId="10420" xr:uid="{06AB54D8-6A69-4322-9A7A-0D8A03289F9F}"/>
    <cellStyle name="20% - Accent3 3 2 2" xfId="600" xr:uid="{00000000-0005-0000-0000-00002B000000}"/>
    <cellStyle name="20% - Accent3 3 2 2 2" xfId="4528" xr:uid="{CBD991A9-875D-4C83-B4FE-1E84F9835BB0}"/>
    <cellStyle name="20% - Accent3 3 2 2 2 2" xfId="8746" xr:uid="{7C6BE12E-E636-4A0B-8733-AA2E01B3AED3}"/>
    <cellStyle name="20% - Accent3 3 2 2 3" xfId="6601" xr:uid="{1A7396BD-3ECF-488D-B0F2-13D701DF7C2A}"/>
    <cellStyle name="20% - Accent3 3 2 2 4" xfId="2297" xr:uid="{B49AC789-A738-4046-AD1A-2E5645E0CD77}"/>
    <cellStyle name="20% - Accent3 3 2 2 5" xfId="1470" xr:uid="{0637033A-AC9E-4141-BE23-2C44549C79F4}"/>
    <cellStyle name="20% - Accent3 3 2 2 6" xfId="10836" xr:uid="{25F385FE-00EA-437B-83F4-859F1C718070}"/>
    <cellStyle name="20% - Accent3 3 2 3" xfId="2712" xr:uid="{9EDB04B2-595B-4C5A-BF97-F1283EC2160A}"/>
    <cellStyle name="20% - Accent3 3 2 3 2" xfId="4941" xr:uid="{6224CAC8-AFA4-419E-8585-91C3A44392FE}"/>
    <cellStyle name="20% - Accent3 3 2 3 2 2" xfId="9159" xr:uid="{552894F6-A547-409D-A11D-538B9EE5FAEE}"/>
    <cellStyle name="20% - Accent3 3 2 3 3" xfId="7014" xr:uid="{60723111-AB69-4E72-A97E-40D79D1EFBE3}"/>
    <cellStyle name="20% - Accent3 3 2 4" xfId="3125" xr:uid="{8D3856FC-2E67-4E10-B69D-AC6D8ABBBEF7}"/>
    <cellStyle name="20% - Accent3 3 2 4 2" xfId="5354" xr:uid="{BA736E70-115E-4BE9-AC8C-B3CFE81F1392}"/>
    <cellStyle name="20% - Accent3 3 2 4 2 2" xfId="9572" xr:uid="{DE15D72D-2D5B-4944-B446-DD22AA6E3681}"/>
    <cellStyle name="20% - Accent3 3 2 4 3" xfId="7427" xr:uid="{4574E7D4-FE01-4D43-9611-284527DA802D}"/>
    <cellStyle name="20% - Accent3 3 2 5" xfId="3538" xr:uid="{93BEEA10-7F3D-4523-85EE-41FC6B4B923B}"/>
    <cellStyle name="20% - Accent3 3 2 5 2" xfId="5767" xr:uid="{095C11AE-D640-4B0A-A118-48BA9AEB4F67}"/>
    <cellStyle name="20% - Accent3 3 2 5 2 2" xfId="9985" xr:uid="{B059B4B4-F40C-49C2-AC47-2EBF6B088565}"/>
    <cellStyle name="20% - Accent3 3 2 5 3" xfId="7840" xr:uid="{1E5A1141-235C-400C-B9CA-D6F07FEA32B6}"/>
    <cellStyle name="20% - Accent3 3 2 6" xfId="3951" xr:uid="{F3E00A8F-AB27-42B7-94F6-DD6BEB3B8F18}"/>
    <cellStyle name="20% - Accent3 3 2 6 2" xfId="8253" xr:uid="{836AF681-28D3-4D14-9AA6-7045618DF434}"/>
    <cellStyle name="20% - Accent3 3 2 7" xfId="6187" xr:uid="{823067B8-73DB-4370-B33B-AE2F87B38FD2}"/>
    <cellStyle name="20% - Accent3 3 2 8" xfId="1883" xr:uid="{A80DFA2C-99E7-4731-8210-D6DB34B8FD1A}"/>
    <cellStyle name="20% - Accent3 3 2 9" xfId="1054" xr:uid="{61B5777A-4DBC-4289-AA1D-425C2880848E}"/>
    <cellStyle name="20% - Accent3 3 3" xfId="599" xr:uid="{00000000-0005-0000-0000-00002C000000}"/>
    <cellStyle name="20% - Accent3 3 3 2" xfId="4527" xr:uid="{97977B42-D701-4712-94C0-84132D96B098}"/>
    <cellStyle name="20% - Accent3 3 3 2 2" xfId="8745" xr:uid="{CB3C2EF4-1266-4CD1-BE90-EBDB91C0129E}"/>
    <cellStyle name="20% - Accent3 3 3 3" xfId="6600" xr:uid="{7BB30467-35E1-45EE-8C3D-F4A928854B02}"/>
    <cellStyle name="20% - Accent3 3 3 4" xfId="2296" xr:uid="{D473DD8E-6016-41F6-8EBA-DB4CA0091363}"/>
    <cellStyle name="20% - Accent3 3 3 5" xfId="1469" xr:uid="{DD4D3BF9-7E34-4E22-A6F9-4E7E11852AE4}"/>
    <cellStyle name="20% - Accent3 3 3 6" xfId="10835" xr:uid="{39B0281D-26DB-41D4-9A28-0C4B903CB176}"/>
    <cellStyle name="20% - Accent3 3 4" xfId="2711" xr:uid="{4765B5EA-D017-48C8-B7F3-35ED51D34A4E}"/>
    <cellStyle name="20% - Accent3 3 4 2" xfId="4940" xr:uid="{45CFB95B-B659-4B0F-8FCD-92226998EA75}"/>
    <cellStyle name="20% - Accent3 3 4 2 2" xfId="9158" xr:uid="{AE718B7E-145B-44A0-B1A5-D228294804AE}"/>
    <cellStyle name="20% - Accent3 3 4 3" xfId="7013" xr:uid="{51ADC2FF-9A22-4560-9F7D-9034955D2719}"/>
    <cellStyle name="20% - Accent3 3 5" xfId="3124" xr:uid="{37194B71-12EE-487F-AF26-187BB48C7A8C}"/>
    <cellStyle name="20% - Accent3 3 5 2" xfId="5353" xr:uid="{7D12FC63-0F39-4693-B9AC-CC148C8D0230}"/>
    <cellStyle name="20% - Accent3 3 5 2 2" xfId="9571" xr:uid="{84BCACBB-F7F3-4CC1-A6DD-95FC788834A2}"/>
    <cellStyle name="20% - Accent3 3 5 3" xfId="7426" xr:uid="{D48C0F24-DBD2-4BA9-938A-AEB67BA90CA0}"/>
    <cellStyle name="20% - Accent3 3 6" xfId="3537" xr:uid="{82E6057E-529B-43E2-B4F5-C050FC5F5597}"/>
    <cellStyle name="20% - Accent3 3 6 2" xfId="5766" xr:uid="{4E36364E-DC7B-415D-A3A5-BD97CDFC3C50}"/>
    <cellStyle name="20% - Accent3 3 6 2 2" xfId="9984" xr:uid="{E79E204D-D59A-4773-99D3-E944CDA1BF60}"/>
    <cellStyle name="20% - Accent3 3 6 3" xfId="7839" xr:uid="{49A537EE-8BB7-43A4-9A5F-EC8BBCBF0231}"/>
    <cellStyle name="20% - Accent3 3 7" xfId="3950" xr:uid="{C1E9DC07-4F75-4362-93BC-0FD32D217049}"/>
    <cellStyle name="20% - Accent3 3 7 2" xfId="8252" xr:uid="{CA2BF112-5741-4EA3-AB14-16BE7AF209AE}"/>
    <cellStyle name="20% - Accent3 3 8" xfId="6186" xr:uid="{DD9590AB-9008-46F6-BF20-DD40C4589BF7}"/>
    <cellStyle name="20% - Accent3 3 9" xfId="1882" xr:uid="{61094D18-246D-4984-B008-956B51F487B5}"/>
    <cellStyle name="20% - Accent3 4" xfId="24" xr:uid="{00000000-0005-0000-0000-00002D000000}"/>
    <cellStyle name="20% - Accent3 4 10" xfId="10421" xr:uid="{6FAFE923-C54E-4973-AB8C-4AD5A090010A}"/>
    <cellStyle name="20% - Accent3 4 2" xfId="601" xr:uid="{00000000-0005-0000-0000-00002E000000}"/>
    <cellStyle name="20% - Accent3 4 2 2" xfId="4529" xr:uid="{F1824C5E-C4AE-4FE0-B40C-F03C32039634}"/>
    <cellStyle name="20% - Accent3 4 2 2 2" xfId="8747" xr:uid="{A8227891-26F2-4C0E-A36F-1DDDAE038528}"/>
    <cellStyle name="20% - Accent3 4 2 3" xfId="6602" xr:uid="{3620762F-1398-4A5D-87F4-CA2FCC4F6AA2}"/>
    <cellStyle name="20% - Accent3 4 2 4" xfId="2298" xr:uid="{EDFB0CB0-608F-4D4B-AF24-404F8629A56F}"/>
    <cellStyle name="20% - Accent3 4 2 5" xfId="1471" xr:uid="{148881A6-5584-4721-AE10-127C509A6E39}"/>
    <cellStyle name="20% - Accent3 4 2 6" xfId="10837" xr:uid="{7B89F71F-96D9-49A4-893D-50E0B6D513BC}"/>
    <cellStyle name="20% - Accent3 4 3" xfId="2713" xr:uid="{8644BE42-2DCA-49CD-B812-03693CE27171}"/>
    <cellStyle name="20% - Accent3 4 3 2" xfId="4942" xr:uid="{E9C30EC5-8B11-42E3-B4CF-8A53E4715D62}"/>
    <cellStyle name="20% - Accent3 4 3 2 2" xfId="9160" xr:uid="{5E89101E-2D23-4DD4-99FA-490D96BA090D}"/>
    <cellStyle name="20% - Accent3 4 3 3" xfId="7015" xr:uid="{B991C007-C073-4F55-8631-3F28E45ABB2F}"/>
    <cellStyle name="20% - Accent3 4 4" xfId="3126" xr:uid="{BA2F834E-AD70-4D08-948E-F0D70AEB8B0D}"/>
    <cellStyle name="20% - Accent3 4 4 2" xfId="5355" xr:uid="{ED646C9C-7F48-4E46-9DC5-AA88A224A952}"/>
    <cellStyle name="20% - Accent3 4 4 2 2" xfId="9573" xr:uid="{D9280BFB-CB6B-4202-A3A3-08B0FAA6A2A9}"/>
    <cellStyle name="20% - Accent3 4 4 3" xfId="7428" xr:uid="{E07AB580-DAAA-455E-AA33-9FDCB09F358F}"/>
    <cellStyle name="20% - Accent3 4 5" xfId="3539" xr:uid="{F99B0234-7A51-44C2-8D7C-81DFA5988C88}"/>
    <cellStyle name="20% - Accent3 4 5 2" xfId="5768" xr:uid="{EFD6E76F-BAF0-40DA-BE17-CED3DFE40FFA}"/>
    <cellStyle name="20% - Accent3 4 5 2 2" xfId="9986" xr:uid="{8164AC8C-FCE3-4CFE-B6C8-06EEB750582E}"/>
    <cellStyle name="20% - Accent3 4 5 3" xfId="7841" xr:uid="{11A8852C-7BDE-4F3D-B445-3E3FD6F9BF6B}"/>
    <cellStyle name="20% - Accent3 4 6" xfId="3952" xr:uid="{D176CF14-A266-457E-848A-1ABB7851CB79}"/>
    <cellStyle name="20% - Accent3 4 6 2" xfId="8254" xr:uid="{338DD37C-D125-4B94-AFE0-31279D83D913}"/>
    <cellStyle name="20% - Accent3 4 7" xfId="6188" xr:uid="{264A17CB-3143-4F6C-9BEC-117FC3A59AE3}"/>
    <cellStyle name="20% - Accent3 4 8" xfId="1884" xr:uid="{30250F00-A5F4-4316-BF82-3DDE66D4C80D}"/>
    <cellStyle name="20% - Accent3 4 9" xfId="1055" xr:uid="{0575AA93-3104-4547-A4E7-5B2866A53D1E}"/>
    <cellStyle name="20% - Accent3 5" xfId="594" xr:uid="{00000000-0005-0000-0000-00002F000000}"/>
    <cellStyle name="20% - Accent3 5 2" xfId="4522" xr:uid="{2EB04456-66DE-4557-A04E-9DC46BBFCE72}"/>
    <cellStyle name="20% - Accent3 5 2 2" xfId="8740" xr:uid="{0D2DFDF6-5BA5-425E-AF36-F4FF88546FCE}"/>
    <cellStyle name="20% - Accent3 5 3" xfId="6595" xr:uid="{C9DB45C7-D77C-47A9-8ED7-CE66A564D5B0}"/>
    <cellStyle name="20% - Accent3 5 4" xfId="2291" xr:uid="{E6C0D88B-3C40-47AC-AAF8-16DB706F97EA}"/>
    <cellStyle name="20% - Accent3 5 5" xfId="1464" xr:uid="{A7A07166-0136-40C3-AF4F-0B9EFCA37620}"/>
    <cellStyle name="20% - Accent3 5 6" xfId="10830" xr:uid="{A6129054-0ACD-4F7B-A697-340C04D6C830}"/>
    <cellStyle name="20% - Accent3 6" xfId="2706" xr:uid="{40BB08BA-2443-464F-B79B-02738CE97253}"/>
    <cellStyle name="20% - Accent3 6 2" xfId="4935" xr:uid="{451E3E67-3804-487E-B1C6-1733347AFB93}"/>
    <cellStyle name="20% - Accent3 6 2 2" xfId="9153" xr:uid="{F5AB30DE-E42C-432D-934B-DA2907A88316}"/>
    <cellStyle name="20% - Accent3 6 3" xfId="7008" xr:uid="{B9FADE30-05F0-407B-9089-16AAFD3226B5}"/>
    <cellStyle name="20% - Accent3 7" xfId="3119" xr:uid="{24B979D3-F017-408B-B651-BF9E9C6E0699}"/>
    <cellStyle name="20% - Accent3 7 2" xfId="5348" xr:uid="{A2AF3F89-36E9-4F66-B251-B9D73A6E5EDA}"/>
    <cellStyle name="20% - Accent3 7 2 2" xfId="9566" xr:uid="{BD6FEF89-45E0-4788-9070-90B2EF9ACF55}"/>
    <cellStyle name="20% - Accent3 7 3" xfId="7421" xr:uid="{AE584670-43B3-4755-AE1B-C880E36CEDC8}"/>
    <cellStyle name="20% - Accent3 8" xfId="3532" xr:uid="{0F5DC45A-71E5-4D75-A304-7308368FD7F2}"/>
    <cellStyle name="20% - Accent3 8 2" xfId="5761" xr:uid="{C5A591F5-A630-4BF8-B76A-839C1F2E445A}"/>
    <cellStyle name="20% - Accent3 8 2 2" xfId="9979" xr:uid="{B79BA4E0-5791-4F46-99EB-6B6B3FFC5E68}"/>
    <cellStyle name="20% - Accent3 8 3" xfId="7834" xr:uid="{9ECFF135-BA07-42D1-B1B4-B3989F289199}"/>
    <cellStyle name="20% - Accent3 9" xfId="3945" xr:uid="{4D7E60AC-762A-45A4-948D-3170DF9BB196}"/>
    <cellStyle name="20% - Accent3 9 2" xfId="8247" xr:uid="{4FE50594-99D2-45D4-9C73-63C40DEDEAA9}"/>
    <cellStyle name="20% - Accent4" xfId="25" builtinId="42" customBuiltin="1"/>
    <cellStyle name="20% - Accent4 10" xfId="6189" xr:uid="{F6F15761-0C85-44D8-84A3-84353FD3B860}"/>
    <cellStyle name="20% - Accent4 11" xfId="1885" xr:uid="{3312CEEC-2AB5-4933-BF92-76BBADA06115}"/>
    <cellStyle name="20% - Accent4 12" xfId="1056" xr:uid="{543338C3-E833-465B-A3ED-DA6C0BE5EA44}"/>
    <cellStyle name="20% - Accent4 13" xfId="10422" xr:uid="{A730FFF9-397F-4FF3-A6D0-5BA3A030B3DE}"/>
    <cellStyle name="20% - Accent4 2" xfId="26" xr:uid="{00000000-0005-0000-0000-000031000000}"/>
    <cellStyle name="20% - Accent4 2 10" xfId="1886" xr:uid="{E9D47624-8ADC-4857-9E47-CC947AE4EE36}"/>
    <cellStyle name="20% - Accent4 2 11" xfId="1057" xr:uid="{D0B59E9E-0935-4093-B488-A42C22229496}"/>
    <cellStyle name="20% - Accent4 2 12" xfId="10423" xr:uid="{16B4D7C3-D75A-4AB7-8BFB-8150AD6247E1}"/>
    <cellStyle name="20% - Accent4 2 2" xfId="27" xr:uid="{00000000-0005-0000-0000-000032000000}"/>
    <cellStyle name="20% - Accent4 2 2 10" xfId="1058" xr:uid="{DC8E03AC-80C5-44D6-89C0-31946100B96D}"/>
    <cellStyle name="20% - Accent4 2 2 11" xfId="10424" xr:uid="{7222EC07-78B4-4E27-84A6-D1BA09C860B4}"/>
    <cellStyle name="20% - Accent4 2 2 2" xfId="28" xr:uid="{00000000-0005-0000-0000-000033000000}"/>
    <cellStyle name="20% - Accent4 2 2 2 10" xfId="10425" xr:uid="{D301B408-682D-4B1C-B71A-E1711B315BF8}"/>
    <cellStyle name="20% - Accent4 2 2 2 2" xfId="605" xr:uid="{00000000-0005-0000-0000-000034000000}"/>
    <cellStyle name="20% - Accent4 2 2 2 2 2" xfId="4533" xr:uid="{7A6A2D1E-83A4-4A7A-830B-AA815EB36EA4}"/>
    <cellStyle name="20% - Accent4 2 2 2 2 2 2" xfId="8751" xr:uid="{89CEBC83-1CF0-4FC3-9F48-DEA1643DB3DF}"/>
    <cellStyle name="20% - Accent4 2 2 2 2 3" xfId="6606" xr:uid="{6718F846-2F49-42B3-8E1A-9E6C2EF2D1DF}"/>
    <cellStyle name="20% - Accent4 2 2 2 2 4" xfId="2302" xr:uid="{13F69D41-7520-4433-9CE2-FAA181DB464E}"/>
    <cellStyle name="20% - Accent4 2 2 2 2 5" xfId="1475" xr:uid="{915D563D-C779-47DD-8F93-E5F587653F36}"/>
    <cellStyle name="20% - Accent4 2 2 2 2 6" xfId="10841" xr:uid="{D05F4243-F95F-44B1-8827-7A24983C8A8C}"/>
    <cellStyle name="20% - Accent4 2 2 2 3" xfId="2717" xr:uid="{39FD4787-677E-453B-B0F5-1517DC6FFFC7}"/>
    <cellStyle name="20% - Accent4 2 2 2 3 2" xfId="4946" xr:uid="{0EE86672-B69B-4344-B0A4-8DEDE8E2BB9F}"/>
    <cellStyle name="20% - Accent4 2 2 2 3 2 2" xfId="9164" xr:uid="{492042F8-04D3-42BE-B461-95A7E68E4F81}"/>
    <cellStyle name="20% - Accent4 2 2 2 3 3" xfId="7019" xr:uid="{4F1C2FEF-AC61-42E9-9C68-EDA2A9BB2716}"/>
    <cellStyle name="20% - Accent4 2 2 2 4" xfId="3130" xr:uid="{3A05D890-164B-44E1-845B-97A26E592F4B}"/>
    <cellStyle name="20% - Accent4 2 2 2 4 2" xfId="5359" xr:uid="{BD795D61-0EB8-4C68-A419-DB7AB0F14A13}"/>
    <cellStyle name="20% - Accent4 2 2 2 4 2 2" xfId="9577" xr:uid="{F18F5AEF-9229-4061-A31A-9B0C28C208A0}"/>
    <cellStyle name="20% - Accent4 2 2 2 4 3" xfId="7432" xr:uid="{F93F01ED-E503-4C5C-B3FA-96B47C4BD524}"/>
    <cellStyle name="20% - Accent4 2 2 2 5" xfId="3543" xr:uid="{5A5EB1E8-072A-4A9A-9504-3982AD8FCF37}"/>
    <cellStyle name="20% - Accent4 2 2 2 5 2" xfId="5772" xr:uid="{CE311249-E4AD-4EC8-8238-1ED391642319}"/>
    <cellStyle name="20% - Accent4 2 2 2 5 2 2" xfId="9990" xr:uid="{A8A7327C-143E-431E-8D86-DEEB16BE5391}"/>
    <cellStyle name="20% - Accent4 2 2 2 5 3" xfId="7845" xr:uid="{CCB8FDCD-300A-47DF-808D-5F81232D3572}"/>
    <cellStyle name="20% - Accent4 2 2 2 6" xfId="3956" xr:uid="{AD9D1C7A-475E-4DF2-BE41-399BD79C33F8}"/>
    <cellStyle name="20% - Accent4 2 2 2 6 2" xfId="8258" xr:uid="{B996EEF0-5EA1-40BD-B681-0387F89A88F3}"/>
    <cellStyle name="20% - Accent4 2 2 2 7" xfId="6192" xr:uid="{3EB8FAA2-1856-4BEB-B11F-6E37F0E6653A}"/>
    <cellStyle name="20% - Accent4 2 2 2 8" xfId="1888" xr:uid="{529E6622-70D6-421A-94DD-F85B494D535E}"/>
    <cellStyle name="20% - Accent4 2 2 2 9" xfId="1059" xr:uid="{6658AED6-16A9-4D2F-92D8-907746DC5CBE}"/>
    <cellStyle name="20% - Accent4 2 2 3" xfId="604" xr:uid="{00000000-0005-0000-0000-000035000000}"/>
    <cellStyle name="20% - Accent4 2 2 3 2" xfId="4532" xr:uid="{57035B1F-8159-4846-9C72-D68F3651E578}"/>
    <cellStyle name="20% - Accent4 2 2 3 2 2" xfId="8750" xr:uid="{A2A4656A-2AB4-4A35-84E4-4A9757D02C3B}"/>
    <cellStyle name="20% - Accent4 2 2 3 3" xfId="6605" xr:uid="{94CA2489-BE62-44BE-BE31-9209E9BF6C43}"/>
    <cellStyle name="20% - Accent4 2 2 3 4" xfId="2301" xr:uid="{A05F315B-75A8-4753-88BE-6D2399A2626B}"/>
    <cellStyle name="20% - Accent4 2 2 3 5" xfId="1474" xr:uid="{F01C9099-6DBA-4A08-A9D6-5A3AD14C91CC}"/>
    <cellStyle name="20% - Accent4 2 2 3 6" xfId="10840" xr:uid="{15EE3429-D531-4761-B31D-9F9713968381}"/>
    <cellStyle name="20% - Accent4 2 2 4" xfId="2716" xr:uid="{5BC60FA7-7A8C-42E5-B080-82020D63A954}"/>
    <cellStyle name="20% - Accent4 2 2 4 2" xfId="4945" xr:uid="{A531235E-EBF4-44CF-A115-D5C0803C7A76}"/>
    <cellStyle name="20% - Accent4 2 2 4 2 2" xfId="9163" xr:uid="{E7249A4C-04FB-488E-B0CF-8538BEB31608}"/>
    <cellStyle name="20% - Accent4 2 2 4 3" xfId="7018" xr:uid="{811EB607-055A-475C-B31D-CE5A0BBE76D3}"/>
    <cellStyle name="20% - Accent4 2 2 5" xfId="3129" xr:uid="{3DA38B3B-C09C-4434-A2D7-EA1F61AA90BA}"/>
    <cellStyle name="20% - Accent4 2 2 5 2" xfId="5358" xr:uid="{01327FED-7D08-42E5-A1BD-21C2136AE7AE}"/>
    <cellStyle name="20% - Accent4 2 2 5 2 2" xfId="9576" xr:uid="{4AF4AADB-6961-4F0B-8BA4-AC402EF6D574}"/>
    <cellStyle name="20% - Accent4 2 2 5 3" xfId="7431" xr:uid="{1E81EC08-D516-4B2C-9B86-4EF27BFA8C5D}"/>
    <cellStyle name="20% - Accent4 2 2 6" xfId="3542" xr:uid="{2FC26FCD-90CB-44B7-8ED0-AF5BA76D26F5}"/>
    <cellStyle name="20% - Accent4 2 2 6 2" xfId="5771" xr:uid="{1267D2C5-61FE-4DC0-84C3-9E6460B076F7}"/>
    <cellStyle name="20% - Accent4 2 2 6 2 2" xfId="9989" xr:uid="{0D722678-2231-48BC-97AE-397076149699}"/>
    <cellStyle name="20% - Accent4 2 2 6 3" xfId="7844" xr:uid="{17F87DB4-3033-4EF3-9831-0C56E6BE3FDD}"/>
    <cellStyle name="20% - Accent4 2 2 7" xfId="3955" xr:uid="{F3EA6973-E28C-4191-AA20-A45E4E77DD19}"/>
    <cellStyle name="20% - Accent4 2 2 7 2" xfId="8257" xr:uid="{9A9771F6-BADE-40DE-A77E-99DC3D6E0DA8}"/>
    <cellStyle name="20% - Accent4 2 2 8" xfId="6191" xr:uid="{9A902774-E060-4E36-B8C5-B50BB5C83795}"/>
    <cellStyle name="20% - Accent4 2 2 9" xfId="1887" xr:uid="{BFA77CEB-5C08-4987-BA8F-0CACF0FF7E20}"/>
    <cellStyle name="20% - Accent4 2 3" xfId="29" xr:uid="{00000000-0005-0000-0000-000036000000}"/>
    <cellStyle name="20% - Accent4 2 3 10" xfId="10426" xr:uid="{B8EE97A5-6DFE-4583-8429-1A4DFBCD3283}"/>
    <cellStyle name="20% - Accent4 2 3 2" xfId="606" xr:uid="{00000000-0005-0000-0000-000037000000}"/>
    <cellStyle name="20% - Accent4 2 3 2 2" xfId="4534" xr:uid="{0D7A5BB4-1649-4015-AF2C-28C11BD79FC2}"/>
    <cellStyle name="20% - Accent4 2 3 2 2 2" xfId="8752" xr:uid="{125DFEDE-B217-4484-BBFE-6EA83AEEB595}"/>
    <cellStyle name="20% - Accent4 2 3 2 3" xfId="6607" xr:uid="{592CF02D-52F9-47B5-BC51-F1FE736C1D64}"/>
    <cellStyle name="20% - Accent4 2 3 2 4" xfId="2303" xr:uid="{E7A3BA2B-4412-447C-9CDF-77381A5D6774}"/>
    <cellStyle name="20% - Accent4 2 3 2 5" xfId="1476" xr:uid="{9BCDC2F8-64F7-4035-B64F-05BC1ECE2E3B}"/>
    <cellStyle name="20% - Accent4 2 3 2 6" xfId="10842" xr:uid="{8F293F4A-E767-433C-8C85-A2BBFB26333E}"/>
    <cellStyle name="20% - Accent4 2 3 3" xfId="2718" xr:uid="{7BCFB8C1-66E1-4D4F-9F7C-351D5713A165}"/>
    <cellStyle name="20% - Accent4 2 3 3 2" xfId="4947" xr:uid="{18509C5C-C586-4FE1-959D-D09B4A380229}"/>
    <cellStyle name="20% - Accent4 2 3 3 2 2" xfId="9165" xr:uid="{607A59FA-023B-448A-92C1-CD5EB5FB92A2}"/>
    <cellStyle name="20% - Accent4 2 3 3 3" xfId="7020" xr:uid="{92271F08-2509-45F1-B458-868C0ABA7567}"/>
    <cellStyle name="20% - Accent4 2 3 4" xfId="3131" xr:uid="{5AEF8CA5-6412-493D-9394-2982611846D8}"/>
    <cellStyle name="20% - Accent4 2 3 4 2" xfId="5360" xr:uid="{CBF0FF1A-BE47-4DA3-AE63-E6E871C74198}"/>
    <cellStyle name="20% - Accent4 2 3 4 2 2" xfId="9578" xr:uid="{38D95BD0-BF8C-4F41-B2B7-6737A25685D5}"/>
    <cellStyle name="20% - Accent4 2 3 4 3" xfId="7433" xr:uid="{B96CAB47-DD8A-41FE-8B7E-6EEDEF7D1D44}"/>
    <cellStyle name="20% - Accent4 2 3 5" xfId="3544" xr:uid="{DD5746CE-B808-4C8D-B37A-2FD36A6AE4F5}"/>
    <cellStyle name="20% - Accent4 2 3 5 2" xfId="5773" xr:uid="{3887FF33-1266-4092-B234-F8D69B1BCEA8}"/>
    <cellStyle name="20% - Accent4 2 3 5 2 2" xfId="9991" xr:uid="{7A14309E-1132-4125-8989-087BDC53D301}"/>
    <cellStyle name="20% - Accent4 2 3 5 3" xfId="7846" xr:uid="{483A793C-0477-4449-A382-BAC6B81A2D16}"/>
    <cellStyle name="20% - Accent4 2 3 6" xfId="3957" xr:uid="{479BC1C4-8F87-4A33-BF89-58DB4DE6DA8E}"/>
    <cellStyle name="20% - Accent4 2 3 6 2" xfId="8259" xr:uid="{6418E32F-26C0-4C81-9ACC-7ADA604BC749}"/>
    <cellStyle name="20% - Accent4 2 3 7" xfId="6193" xr:uid="{F30B5E43-45B4-4C92-8D1D-70D62FAE819F}"/>
    <cellStyle name="20% - Accent4 2 3 8" xfId="1889" xr:uid="{CBA448AB-CE8C-451E-A850-2682B19EA48E}"/>
    <cellStyle name="20% - Accent4 2 3 9" xfId="1060" xr:uid="{AF0552C0-5A59-443E-9272-9708319D4B6F}"/>
    <cellStyle name="20% - Accent4 2 4" xfId="603" xr:uid="{00000000-0005-0000-0000-000038000000}"/>
    <cellStyle name="20% - Accent4 2 4 2" xfId="4531" xr:uid="{17386958-2871-4E42-B8C1-4DC8E4DD6B2C}"/>
    <cellStyle name="20% - Accent4 2 4 2 2" xfId="8749" xr:uid="{89A64D00-761C-42A6-B2B5-0228300F5F0A}"/>
    <cellStyle name="20% - Accent4 2 4 3" xfId="6604" xr:uid="{5D25CF75-462D-4B0C-9782-EA023BA7A77D}"/>
    <cellStyle name="20% - Accent4 2 4 4" xfId="2300" xr:uid="{817F4F3E-1F44-4BA7-9538-978BA07216B9}"/>
    <cellStyle name="20% - Accent4 2 4 5" xfId="1473" xr:uid="{4DF144FA-8288-430A-9BF0-B554E8F6F302}"/>
    <cellStyle name="20% - Accent4 2 4 6" xfId="10839" xr:uid="{8FBF4EC9-0425-46C5-999D-AA445878C56C}"/>
    <cellStyle name="20% - Accent4 2 5" xfId="2715" xr:uid="{5DEFE408-1D7D-49E7-B030-0504818FAE45}"/>
    <cellStyle name="20% - Accent4 2 5 2" xfId="4944" xr:uid="{0F6B115A-6A4C-49A7-B886-9F3207AB503F}"/>
    <cellStyle name="20% - Accent4 2 5 2 2" xfId="9162" xr:uid="{D709419F-6F55-4B41-8EB2-F7023D1334D3}"/>
    <cellStyle name="20% - Accent4 2 5 3" xfId="7017" xr:uid="{0A0BABA8-B66A-4045-AC9A-E31DCE3DCCB6}"/>
    <cellStyle name="20% - Accent4 2 6" xfId="3128" xr:uid="{8FF20EEF-FC08-4004-A3CD-82C62159AD82}"/>
    <cellStyle name="20% - Accent4 2 6 2" xfId="5357" xr:uid="{FB841316-619F-426C-8072-F401B375EFB7}"/>
    <cellStyle name="20% - Accent4 2 6 2 2" xfId="9575" xr:uid="{95951CDF-C7CC-4478-96C1-30E2449CB01A}"/>
    <cellStyle name="20% - Accent4 2 6 3" xfId="7430" xr:uid="{3DAD795B-1AA4-4509-8DA5-F0EB1D5DF3B4}"/>
    <cellStyle name="20% - Accent4 2 7" xfId="3541" xr:uid="{961E7E51-D836-46AF-A89D-04CD766D1334}"/>
    <cellStyle name="20% - Accent4 2 7 2" xfId="5770" xr:uid="{72931E2A-FF95-4605-ADE3-CD14FBA3C2CC}"/>
    <cellStyle name="20% - Accent4 2 7 2 2" xfId="9988" xr:uid="{4E6E67E9-D81A-4908-9D38-ABF180D03749}"/>
    <cellStyle name="20% - Accent4 2 7 3" xfId="7843" xr:uid="{4AFDD75F-8E04-4B07-87ED-BD60BD316765}"/>
    <cellStyle name="20% - Accent4 2 8" xfId="3954" xr:uid="{B5845DBD-B436-4EE3-92E5-4593E9D20DBE}"/>
    <cellStyle name="20% - Accent4 2 8 2" xfId="8256" xr:uid="{BF59C10A-9FA1-417B-AAFB-3755B46D2C69}"/>
    <cellStyle name="20% - Accent4 2 9" xfId="6190" xr:uid="{66F7710B-FFEA-4888-8A97-5C2AABA0B711}"/>
    <cellStyle name="20% - Accent4 3" xfId="30" xr:uid="{00000000-0005-0000-0000-000039000000}"/>
    <cellStyle name="20% - Accent4 3 10" xfId="1061" xr:uid="{2181ADAD-152E-40D2-9662-E841EA75CDE4}"/>
    <cellStyle name="20% - Accent4 3 11" xfId="10427" xr:uid="{ECF0A6EE-6523-480F-A57D-B19AB7725883}"/>
    <cellStyle name="20% - Accent4 3 2" xfId="31" xr:uid="{00000000-0005-0000-0000-00003A000000}"/>
    <cellStyle name="20% - Accent4 3 2 10" xfId="10428" xr:uid="{D861F0CD-9876-4F9A-978D-C0B638F28329}"/>
    <cellStyle name="20% - Accent4 3 2 2" xfId="608" xr:uid="{00000000-0005-0000-0000-00003B000000}"/>
    <cellStyle name="20% - Accent4 3 2 2 2" xfId="4536" xr:uid="{FAD3783B-E0DE-4C0C-BD36-8FD859951571}"/>
    <cellStyle name="20% - Accent4 3 2 2 2 2" xfId="8754" xr:uid="{6D16D438-AAA7-4EA7-8FAB-74097B2451F2}"/>
    <cellStyle name="20% - Accent4 3 2 2 3" xfId="6609" xr:uid="{7B89E9BE-66A9-47F5-AAC1-477E8149F1FE}"/>
    <cellStyle name="20% - Accent4 3 2 2 4" xfId="2305" xr:uid="{8DFCA945-3118-4A54-BAE2-3F17010913C7}"/>
    <cellStyle name="20% - Accent4 3 2 2 5" xfId="1478" xr:uid="{DB03E0CB-D4EE-47F9-9AF4-B706DA62DC40}"/>
    <cellStyle name="20% - Accent4 3 2 2 6" xfId="10844" xr:uid="{545D283B-E33D-4135-B776-5844201499AB}"/>
    <cellStyle name="20% - Accent4 3 2 3" xfId="2720" xr:uid="{6D210FC2-C998-491D-8113-B6E3A58C5ECF}"/>
    <cellStyle name="20% - Accent4 3 2 3 2" xfId="4949" xr:uid="{0F8B594D-D487-4307-969A-423CED8CAA53}"/>
    <cellStyle name="20% - Accent4 3 2 3 2 2" xfId="9167" xr:uid="{413503B8-210A-4A7F-84E8-FBB743F3CA98}"/>
    <cellStyle name="20% - Accent4 3 2 3 3" xfId="7022" xr:uid="{AB715CFA-0F28-4064-8AE4-920159146D56}"/>
    <cellStyle name="20% - Accent4 3 2 4" xfId="3133" xr:uid="{B587BA57-1E60-4A61-99FC-18279EE8C557}"/>
    <cellStyle name="20% - Accent4 3 2 4 2" xfId="5362" xr:uid="{6E35DAEB-6EDD-4B8F-BB13-A8DCC4663988}"/>
    <cellStyle name="20% - Accent4 3 2 4 2 2" xfId="9580" xr:uid="{C8874B2E-EAE8-478F-AFDC-7A6951C03F7C}"/>
    <cellStyle name="20% - Accent4 3 2 4 3" xfId="7435" xr:uid="{A9885D8C-D096-416E-9443-99045574ABA3}"/>
    <cellStyle name="20% - Accent4 3 2 5" xfId="3546" xr:uid="{8A9A7408-908A-40C1-BED5-CB2A03E5D344}"/>
    <cellStyle name="20% - Accent4 3 2 5 2" xfId="5775" xr:uid="{45CEFD09-5A03-4D2D-B80D-6224272B4E3D}"/>
    <cellStyle name="20% - Accent4 3 2 5 2 2" xfId="9993" xr:uid="{0D0527C6-87CC-4E09-8BA0-C1FF1ABF4F95}"/>
    <cellStyle name="20% - Accent4 3 2 5 3" xfId="7848" xr:uid="{4F26B5DB-AAA6-4384-920A-1EFE3082D749}"/>
    <cellStyle name="20% - Accent4 3 2 6" xfId="3959" xr:uid="{8BC74A09-1862-40B2-9B9C-5C41093402B6}"/>
    <cellStyle name="20% - Accent4 3 2 6 2" xfId="8261" xr:uid="{442B2F47-FCAD-414F-B369-461F9926F80A}"/>
    <cellStyle name="20% - Accent4 3 2 7" xfId="6195" xr:uid="{F644D92D-84EC-4323-BBA5-DDB832C2AA8D}"/>
    <cellStyle name="20% - Accent4 3 2 8" xfId="1891" xr:uid="{6F0FDB6E-F99A-4458-B61A-CBBF89CC32F0}"/>
    <cellStyle name="20% - Accent4 3 2 9" xfId="1062" xr:uid="{2D84DBD4-C4C1-439A-84BB-394298500045}"/>
    <cellStyle name="20% - Accent4 3 3" xfId="607" xr:uid="{00000000-0005-0000-0000-00003C000000}"/>
    <cellStyle name="20% - Accent4 3 3 2" xfId="4535" xr:uid="{0820C06C-1F8A-4B79-952B-EFF4C6F55E91}"/>
    <cellStyle name="20% - Accent4 3 3 2 2" xfId="8753" xr:uid="{FD77E4AA-E0BA-4EB8-B5E5-2E67A89C1B69}"/>
    <cellStyle name="20% - Accent4 3 3 3" xfId="6608" xr:uid="{DD55A238-7480-4C1A-817A-4A50F8D17C95}"/>
    <cellStyle name="20% - Accent4 3 3 4" xfId="2304" xr:uid="{2A01AACF-BFF1-4664-8388-D9E9AE86B0B9}"/>
    <cellStyle name="20% - Accent4 3 3 5" xfId="1477" xr:uid="{277B6F3E-2E3E-4040-9BE8-75E0D6316CD7}"/>
    <cellStyle name="20% - Accent4 3 3 6" xfId="10843" xr:uid="{A3738C7C-A849-49CC-A400-4E5655E3DD6F}"/>
    <cellStyle name="20% - Accent4 3 4" xfId="2719" xr:uid="{A1B1FAF5-E424-4C7D-B175-6E79E8F24EAE}"/>
    <cellStyle name="20% - Accent4 3 4 2" xfId="4948" xr:uid="{46DB329A-1654-49C4-ACCB-4842FB15ADED}"/>
    <cellStyle name="20% - Accent4 3 4 2 2" xfId="9166" xr:uid="{ED098FBC-033E-459E-8516-BAAC581CEC9B}"/>
    <cellStyle name="20% - Accent4 3 4 3" xfId="7021" xr:uid="{F42BB5DE-D7DA-430C-9A88-C3AE50DBE73D}"/>
    <cellStyle name="20% - Accent4 3 5" xfId="3132" xr:uid="{696CC7B2-5740-413C-8A2F-92FDBAA3CA41}"/>
    <cellStyle name="20% - Accent4 3 5 2" xfId="5361" xr:uid="{D35B8039-2938-4906-ACBB-CE2863D12499}"/>
    <cellStyle name="20% - Accent4 3 5 2 2" xfId="9579" xr:uid="{E25EBB25-1D20-4EDA-8467-B789649BCC6A}"/>
    <cellStyle name="20% - Accent4 3 5 3" xfId="7434" xr:uid="{7040B91F-CCBE-4F88-BDF2-78EFD0BD4398}"/>
    <cellStyle name="20% - Accent4 3 6" xfId="3545" xr:uid="{5A37AB72-C7D2-410A-80C3-EA3A85770796}"/>
    <cellStyle name="20% - Accent4 3 6 2" xfId="5774" xr:uid="{6C242BA2-B64C-42DE-9AC9-84D5F1DAF208}"/>
    <cellStyle name="20% - Accent4 3 6 2 2" xfId="9992" xr:uid="{82A98B69-CF12-4BF5-9498-7AF916CA7A9F}"/>
    <cellStyle name="20% - Accent4 3 6 3" xfId="7847" xr:uid="{E834A8BD-622F-4764-A500-8626D932F2AF}"/>
    <cellStyle name="20% - Accent4 3 7" xfId="3958" xr:uid="{B7762732-5448-466C-8B11-19A6785E3A91}"/>
    <cellStyle name="20% - Accent4 3 7 2" xfId="8260" xr:uid="{2589D93C-EF45-4E43-9793-03F61E7FBAD5}"/>
    <cellStyle name="20% - Accent4 3 8" xfId="6194" xr:uid="{A64ABDD6-17D5-423C-B202-67E2CFDD30C5}"/>
    <cellStyle name="20% - Accent4 3 9" xfId="1890" xr:uid="{246031F3-87D7-4D4A-8F8C-8610EECE6907}"/>
    <cellStyle name="20% - Accent4 4" xfId="32" xr:uid="{00000000-0005-0000-0000-00003D000000}"/>
    <cellStyle name="20% - Accent4 4 10" xfId="10429" xr:uid="{D6271F04-D942-4B17-AFBC-1BD80E7CC6C8}"/>
    <cellStyle name="20% - Accent4 4 2" xfId="609" xr:uid="{00000000-0005-0000-0000-00003E000000}"/>
    <cellStyle name="20% - Accent4 4 2 2" xfId="4537" xr:uid="{50898312-B66A-4F82-9363-B6FAD859F412}"/>
    <cellStyle name="20% - Accent4 4 2 2 2" xfId="8755" xr:uid="{268BF996-1278-46C3-9C74-1E10B0223906}"/>
    <cellStyle name="20% - Accent4 4 2 3" xfId="6610" xr:uid="{A91985A9-CA9F-44DF-A2C5-A14484B83A38}"/>
    <cellStyle name="20% - Accent4 4 2 4" xfId="2306" xr:uid="{DE5746F5-CBEC-4743-8D87-CC698893275B}"/>
    <cellStyle name="20% - Accent4 4 2 5" xfId="1479" xr:uid="{5C2850E2-2E84-4721-AA2A-C7BA12E62BDA}"/>
    <cellStyle name="20% - Accent4 4 2 6" xfId="10845" xr:uid="{B7344642-9D50-4B29-AF4C-90E86239C4D9}"/>
    <cellStyle name="20% - Accent4 4 3" xfId="2721" xr:uid="{6E791C7C-10EC-465F-9C51-0AF0F7294B08}"/>
    <cellStyle name="20% - Accent4 4 3 2" xfId="4950" xr:uid="{FADEB6AF-0F9C-4843-B6E6-AB3D1E704CCC}"/>
    <cellStyle name="20% - Accent4 4 3 2 2" xfId="9168" xr:uid="{A0BEA7A4-CC3E-424A-888C-352D77DB123E}"/>
    <cellStyle name="20% - Accent4 4 3 3" xfId="7023" xr:uid="{8CEE3498-AED0-4CCD-AB75-6188FF1544E3}"/>
    <cellStyle name="20% - Accent4 4 4" xfId="3134" xr:uid="{60681071-0C97-4A01-A409-7406FCB5796D}"/>
    <cellStyle name="20% - Accent4 4 4 2" xfId="5363" xr:uid="{FF99C0A7-C7AE-40F0-B426-6DE3EC9E4671}"/>
    <cellStyle name="20% - Accent4 4 4 2 2" xfId="9581" xr:uid="{11592B2E-771C-4B2C-BB2C-419CF88D5519}"/>
    <cellStyle name="20% - Accent4 4 4 3" xfId="7436" xr:uid="{8640E045-0708-4B8B-AB31-FAFAC14DC4B3}"/>
    <cellStyle name="20% - Accent4 4 5" xfId="3547" xr:uid="{26BC1369-BE7D-41FC-9F57-F9EAA4C2BCE6}"/>
    <cellStyle name="20% - Accent4 4 5 2" xfId="5776" xr:uid="{7E747717-49EB-490F-B5A7-8356C1A48BA9}"/>
    <cellStyle name="20% - Accent4 4 5 2 2" xfId="9994" xr:uid="{6B5C3627-3C27-4071-813C-E54A99D3BF80}"/>
    <cellStyle name="20% - Accent4 4 5 3" xfId="7849" xr:uid="{F4D91F11-E032-4B82-BA75-D7C49B0AD901}"/>
    <cellStyle name="20% - Accent4 4 6" xfId="3960" xr:uid="{D27540C5-B7AC-4837-969D-E2E5E49170B9}"/>
    <cellStyle name="20% - Accent4 4 6 2" xfId="8262" xr:uid="{ACFAD55E-5F1F-4F60-9457-C88A47FE5625}"/>
    <cellStyle name="20% - Accent4 4 7" xfId="6196" xr:uid="{03986F8D-A481-46E0-B4B3-CE5FF7FD18CE}"/>
    <cellStyle name="20% - Accent4 4 8" xfId="1892" xr:uid="{E134001F-AB14-4C2A-B72C-277D1A03ABFF}"/>
    <cellStyle name="20% - Accent4 4 9" xfId="1063" xr:uid="{F9AA9794-55E1-49F5-9099-46259FB09746}"/>
    <cellStyle name="20% - Accent4 5" xfId="602" xr:uid="{00000000-0005-0000-0000-00003F000000}"/>
    <cellStyle name="20% - Accent4 5 2" xfId="4530" xr:uid="{B50C72C2-D475-41BB-A74F-B643084BB7C8}"/>
    <cellStyle name="20% - Accent4 5 2 2" xfId="8748" xr:uid="{3F7AEFD3-A220-4FB6-8499-0DAC4059B995}"/>
    <cellStyle name="20% - Accent4 5 3" xfId="6603" xr:uid="{E739E2B9-35A9-44BC-B3D0-F1B06B3FCF8E}"/>
    <cellStyle name="20% - Accent4 5 4" xfId="2299" xr:uid="{CA39E16D-3E15-4CB2-B63B-817E998410FE}"/>
    <cellStyle name="20% - Accent4 5 5" xfId="1472" xr:uid="{2833D1C4-3AC1-4D1E-85D1-1E4B8A061130}"/>
    <cellStyle name="20% - Accent4 5 6" xfId="10838" xr:uid="{43093EC3-D33D-4246-A84E-C592F27B571A}"/>
    <cellStyle name="20% - Accent4 6" xfId="2714" xr:uid="{DAF4F938-D104-4A9F-AB96-71B387F7537D}"/>
    <cellStyle name="20% - Accent4 6 2" xfId="4943" xr:uid="{03D4EE5D-47CE-4CE2-A3EC-24579803D1B9}"/>
    <cellStyle name="20% - Accent4 6 2 2" xfId="9161" xr:uid="{DCF220AD-A284-4592-BAF8-9F29515E6DD2}"/>
    <cellStyle name="20% - Accent4 6 3" xfId="7016" xr:uid="{D4D98B03-5889-4A5C-9968-B8E849CAC8E8}"/>
    <cellStyle name="20% - Accent4 7" xfId="3127" xr:uid="{583D0556-EAE8-480F-86B6-4FB0ED3F688D}"/>
    <cellStyle name="20% - Accent4 7 2" xfId="5356" xr:uid="{C3ACFB44-A477-41A5-A628-4CF675E5F59F}"/>
    <cellStyle name="20% - Accent4 7 2 2" xfId="9574" xr:uid="{767C3D6C-6814-452F-AAD9-506727CE13B0}"/>
    <cellStyle name="20% - Accent4 7 3" xfId="7429" xr:uid="{4BBDEB26-CE85-49A4-9034-D0D0A8E5CDAC}"/>
    <cellStyle name="20% - Accent4 8" xfId="3540" xr:uid="{F49BC0A3-2DA3-4760-80BA-4969823B60B4}"/>
    <cellStyle name="20% - Accent4 8 2" xfId="5769" xr:uid="{516F1C8E-A6F5-4746-8388-EF0C446B7506}"/>
    <cellStyle name="20% - Accent4 8 2 2" xfId="9987" xr:uid="{CC7589B2-6F5B-40B2-9700-E44939E9633B}"/>
    <cellStyle name="20% - Accent4 8 3" xfId="7842" xr:uid="{C596B3F9-CBC8-485D-8E2C-5A09BBBA74B9}"/>
    <cellStyle name="20% - Accent4 9" xfId="3953" xr:uid="{05F51D36-D8EB-4EA9-B4EF-BACD7DDCADD0}"/>
    <cellStyle name="20% - Accent4 9 2" xfId="8255" xr:uid="{AE865A16-5302-4891-B568-2990176D7CFC}"/>
    <cellStyle name="20% - Accent5" xfId="33" builtinId="46" customBuiltin="1"/>
    <cellStyle name="20% - Accent5 10" xfId="6197" xr:uid="{1CA31D58-6ED8-46D6-959C-600DEB7EFD83}"/>
    <cellStyle name="20% - Accent5 11" xfId="1893" xr:uid="{9F3E4F29-B9F6-41FD-94ED-1192A6592877}"/>
    <cellStyle name="20% - Accent5 12" xfId="1064" xr:uid="{8079B028-228C-412C-8E3A-498DF90321DA}"/>
    <cellStyle name="20% - Accent5 13" xfId="10430" xr:uid="{8947C535-C51F-4279-9A68-579AD73C866C}"/>
    <cellStyle name="20% - Accent5 2" xfId="34" xr:uid="{00000000-0005-0000-0000-000041000000}"/>
    <cellStyle name="20% - Accent5 2 10" xfId="1894" xr:uid="{69D7041B-BACA-4519-9D21-375B4494A9C4}"/>
    <cellStyle name="20% - Accent5 2 11" xfId="1065" xr:uid="{6E54484B-56BD-4434-9BA7-F9CC4E545E4A}"/>
    <cellStyle name="20% - Accent5 2 12" xfId="10431" xr:uid="{1358003C-7687-4BD7-B665-5ED8B968DA81}"/>
    <cellStyle name="20% - Accent5 2 2" xfId="35" xr:uid="{00000000-0005-0000-0000-000042000000}"/>
    <cellStyle name="20% - Accent5 2 2 10" xfId="1066" xr:uid="{A272B00A-F68C-4826-8DE9-7E094BB88BA0}"/>
    <cellStyle name="20% - Accent5 2 2 11" xfId="10432" xr:uid="{E7F13C89-4347-45D8-B0A2-7F62A95D42C9}"/>
    <cellStyle name="20% - Accent5 2 2 2" xfId="36" xr:uid="{00000000-0005-0000-0000-000043000000}"/>
    <cellStyle name="20% - Accent5 2 2 2 10" xfId="10433" xr:uid="{9ACB198B-576D-40AB-A9C2-4D09973FD992}"/>
    <cellStyle name="20% - Accent5 2 2 2 2" xfId="613" xr:uid="{00000000-0005-0000-0000-000044000000}"/>
    <cellStyle name="20% - Accent5 2 2 2 2 2" xfId="4541" xr:uid="{C3B7D1AC-3288-4989-B460-5F51C5599852}"/>
    <cellStyle name="20% - Accent5 2 2 2 2 2 2" xfId="8759" xr:uid="{5F15D6C8-A434-4E5D-953A-252297991311}"/>
    <cellStyle name="20% - Accent5 2 2 2 2 3" xfId="6614" xr:uid="{79D261C8-708F-496A-B136-95A495C663B8}"/>
    <cellStyle name="20% - Accent5 2 2 2 2 4" xfId="2310" xr:uid="{19CA4127-810B-443E-8968-DB50CCD5B401}"/>
    <cellStyle name="20% - Accent5 2 2 2 2 5" xfId="1483" xr:uid="{854DC7B6-36CD-4B6D-83A3-3F982E95BF7B}"/>
    <cellStyle name="20% - Accent5 2 2 2 2 6" xfId="10849" xr:uid="{94EEA223-89A6-47DE-BDF7-E3526123D5AC}"/>
    <cellStyle name="20% - Accent5 2 2 2 3" xfId="2725" xr:uid="{02663162-5641-45E7-9064-0C083E8869B3}"/>
    <cellStyle name="20% - Accent5 2 2 2 3 2" xfId="4954" xr:uid="{688CB7B8-55C3-43A3-A816-6FB3890F29F5}"/>
    <cellStyle name="20% - Accent5 2 2 2 3 2 2" xfId="9172" xr:uid="{67AF1A38-54DC-4FCC-A9E9-6C914D3525BA}"/>
    <cellStyle name="20% - Accent5 2 2 2 3 3" xfId="7027" xr:uid="{4C0CB8BA-78B8-4253-A855-E31A61C1E5BC}"/>
    <cellStyle name="20% - Accent5 2 2 2 4" xfId="3138" xr:uid="{6C800723-FE08-4A65-8BCB-020E94A6C024}"/>
    <cellStyle name="20% - Accent5 2 2 2 4 2" xfId="5367" xr:uid="{1930220B-8B58-477E-8504-F61E94DA0EB8}"/>
    <cellStyle name="20% - Accent5 2 2 2 4 2 2" xfId="9585" xr:uid="{5273A9E5-0764-4DAD-A226-4F1E86814DA9}"/>
    <cellStyle name="20% - Accent5 2 2 2 4 3" xfId="7440" xr:uid="{1C303707-F329-451A-9BAB-57A7B38C5FE0}"/>
    <cellStyle name="20% - Accent5 2 2 2 5" xfId="3551" xr:uid="{83C6D73A-42DF-42C1-BB4E-40EF6E5D0931}"/>
    <cellStyle name="20% - Accent5 2 2 2 5 2" xfId="5780" xr:uid="{1ABD74BD-0AB1-475F-82E8-431B2150DD83}"/>
    <cellStyle name="20% - Accent5 2 2 2 5 2 2" xfId="9998" xr:uid="{C6CCBBCA-DB70-4D55-8597-A4499547BAFE}"/>
    <cellStyle name="20% - Accent5 2 2 2 5 3" xfId="7853" xr:uid="{E6B67F71-C51E-4BC6-8725-58839360D919}"/>
    <cellStyle name="20% - Accent5 2 2 2 6" xfId="3964" xr:uid="{E69386FD-C501-4747-8D08-3D91F0C98099}"/>
    <cellStyle name="20% - Accent5 2 2 2 6 2" xfId="8266" xr:uid="{56260170-D191-4914-9B97-362B7A84F59A}"/>
    <cellStyle name="20% - Accent5 2 2 2 7" xfId="6200" xr:uid="{DD6CD5AC-D60E-4008-B043-8F0E0C69129E}"/>
    <cellStyle name="20% - Accent5 2 2 2 8" xfId="1896" xr:uid="{17B902C3-5B8D-4F73-B8D7-60C07EFC96E9}"/>
    <cellStyle name="20% - Accent5 2 2 2 9" xfId="1067" xr:uid="{0E5D7480-9161-4AC1-BA05-4AF79472A307}"/>
    <cellStyle name="20% - Accent5 2 2 3" xfId="612" xr:uid="{00000000-0005-0000-0000-000045000000}"/>
    <cellStyle name="20% - Accent5 2 2 3 2" xfId="4540" xr:uid="{D876E623-D793-4862-8764-20A49097786E}"/>
    <cellStyle name="20% - Accent5 2 2 3 2 2" xfId="8758" xr:uid="{548869B0-7083-4599-83DD-B938B18D4681}"/>
    <cellStyle name="20% - Accent5 2 2 3 3" xfId="6613" xr:uid="{7E9D12E6-EA10-4F03-917F-320D66351EA8}"/>
    <cellStyle name="20% - Accent5 2 2 3 4" xfId="2309" xr:uid="{0CA60780-7841-4218-89DC-A64900ED9716}"/>
    <cellStyle name="20% - Accent5 2 2 3 5" xfId="1482" xr:uid="{3A3608CB-C2D5-4135-907C-7FCE81CF01A4}"/>
    <cellStyle name="20% - Accent5 2 2 3 6" xfId="10848" xr:uid="{EA0AB6FF-6342-45AA-930E-58A8585BC181}"/>
    <cellStyle name="20% - Accent5 2 2 4" xfId="2724" xr:uid="{8B81CC4A-27D1-4293-A16D-F544B6CF3223}"/>
    <cellStyle name="20% - Accent5 2 2 4 2" xfId="4953" xr:uid="{3280A6A0-E1C3-42D2-A65D-E91B03BD4841}"/>
    <cellStyle name="20% - Accent5 2 2 4 2 2" xfId="9171" xr:uid="{929B9BF1-476D-4673-A959-83A5E686E76C}"/>
    <cellStyle name="20% - Accent5 2 2 4 3" xfId="7026" xr:uid="{32A332B8-BA41-4C9C-84E8-C610819461AA}"/>
    <cellStyle name="20% - Accent5 2 2 5" xfId="3137" xr:uid="{DD03126E-98B4-4A3A-A713-59B1F002743C}"/>
    <cellStyle name="20% - Accent5 2 2 5 2" xfId="5366" xr:uid="{80E53DBE-60FB-458F-87B7-4B3E9F46F9BA}"/>
    <cellStyle name="20% - Accent5 2 2 5 2 2" xfId="9584" xr:uid="{52F7CBF2-9694-406C-9915-125D89AAA1AA}"/>
    <cellStyle name="20% - Accent5 2 2 5 3" xfId="7439" xr:uid="{70F63E90-B774-4E0F-B963-6CB819B57057}"/>
    <cellStyle name="20% - Accent5 2 2 6" xfId="3550" xr:uid="{BDB850D0-DCB0-4A08-8A7F-DDFB6012B5B9}"/>
    <cellStyle name="20% - Accent5 2 2 6 2" xfId="5779" xr:uid="{5AB2B44E-2F4A-4450-98E5-072937F55D47}"/>
    <cellStyle name="20% - Accent5 2 2 6 2 2" xfId="9997" xr:uid="{A4B565A1-D324-4D4A-A192-560C448907E4}"/>
    <cellStyle name="20% - Accent5 2 2 6 3" xfId="7852" xr:uid="{164F2A57-C727-4027-8F29-C3A6922B311D}"/>
    <cellStyle name="20% - Accent5 2 2 7" xfId="3963" xr:uid="{44F1A3BA-8FC4-4145-B010-0382616655DB}"/>
    <cellStyle name="20% - Accent5 2 2 7 2" xfId="8265" xr:uid="{1FD2613E-AEDE-479F-B7F7-4E5CFB13B142}"/>
    <cellStyle name="20% - Accent5 2 2 8" xfId="6199" xr:uid="{047B422F-BC0E-4348-B9EA-D64BA1B3C813}"/>
    <cellStyle name="20% - Accent5 2 2 9" xfId="1895" xr:uid="{036D32E7-CB6C-4B4B-9DC2-AF6C9050BA5E}"/>
    <cellStyle name="20% - Accent5 2 3" xfId="37" xr:uid="{00000000-0005-0000-0000-000046000000}"/>
    <cellStyle name="20% - Accent5 2 3 10" xfId="10434" xr:uid="{4B137D5D-1C53-432E-B8DF-06C7C9E2312C}"/>
    <cellStyle name="20% - Accent5 2 3 2" xfId="614" xr:uid="{00000000-0005-0000-0000-000047000000}"/>
    <cellStyle name="20% - Accent5 2 3 2 2" xfId="4542" xr:uid="{7C3C447D-252F-4FB5-819A-5E31EA829D8A}"/>
    <cellStyle name="20% - Accent5 2 3 2 2 2" xfId="8760" xr:uid="{EE48D435-8007-455B-A9B8-3F439EFBEB27}"/>
    <cellStyle name="20% - Accent5 2 3 2 3" xfId="6615" xr:uid="{66530CDB-6D16-470A-A8CD-AB076386145F}"/>
    <cellStyle name="20% - Accent5 2 3 2 4" xfId="2311" xr:uid="{FAB4472D-3320-4374-AE3F-9DA9F996552E}"/>
    <cellStyle name="20% - Accent5 2 3 2 5" xfId="1484" xr:uid="{A0A1FF1E-6B12-4787-9678-6AE50DE8C61D}"/>
    <cellStyle name="20% - Accent5 2 3 2 6" xfId="10850" xr:uid="{F3577399-A321-486A-9B64-FE85D4D082FF}"/>
    <cellStyle name="20% - Accent5 2 3 3" xfId="2726" xr:uid="{3757C51B-9DF3-483F-9834-E1293D7167D4}"/>
    <cellStyle name="20% - Accent5 2 3 3 2" xfId="4955" xr:uid="{4C4FF5B7-E1C7-4BD7-A928-BF64FA3FCAAB}"/>
    <cellStyle name="20% - Accent5 2 3 3 2 2" xfId="9173" xr:uid="{50B80CE6-CA03-4E65-B4B5-0FFAD099E312}"/>
    <cellStyle name="20% - Accent5 2 3 3 3" xfId="7028" xr:uid="{25A6F565-B594-4030-9176-D318151BF0CE}"/>
    <cellStyle name="20% - Accent5 2 3 4" xfId="3139" xr:uid="{F579157C-D39C-463B-9DCA-8A06B7728515}"/>
    <cellStyle name="20% - Accent5 2 3 4 2" xfId="5368" xr:uid="{C11DDDA7-F358-4DE4-8E7D-A61B8871D7B7}"/>
    <cellStyle name="20% - Accent5 2 3 4 2 2" xfId="9586" xr:uid="{ACE6CEB5-9777-4688-9CF5-AFE890B26EE0}"/>
    <cellStyle name="20% - Accent5 2 3 4 3" xfId="7441" xr:uid="{FB195DCD-A9D5-4B38-A1BF-694F14C32934}"/>
    <cellStyle name="20% - Accent5 2 3 5" xfId="3552" xr:uid="{56441F64-9A4E-45AA-9CB7-26209FB2CFDC}"/>
    <cellStyle name="20% - Accent5 2 3 5 2" xfId="5781" xr:uid="{02A5249B-09E1-4F85-9551-54AEF4D96AC1}"/>
    <cellStyle name="20% - Accent5 2 3 5 2 2" xfId="9999" xr:uid="{1E773CCB-804E-4F6A-ADBB-680EE82C3684}"/>
    <cellStyle name="20% - Accent5 2 3 5 3" xfId="7854" xr:uid="{F4D5BEB0-01D7-478E-9A73-1B4E2CF0C7FD}"/>
    <cellStyle name="20% - Accent5 2 3 6" xfId="3965" xr:uid="{4F3A4AA0-78DF-4FA0-A079-A27A5021B14E}"/>
    <cellStyle name="20% - Accent5 2 3 6 2" xfId="8267" xr:uid="{0C838158-2657-4CAA-8895-467DAC244318}"/>
    <cellStyle name="20% - Accent5 2 3 7" xfId="6201" xr:uid="{66C44578-B54C-4857-AC18-E3673EAC4D26}"/>
    <cellStyle name="20% - Accent5 2 3 8" xfId="1897" xr:uid="{B4548AC4-4F63-49A5-B874-3E9E8823243B}"/>
    <cellStyle name="20% - Accent5 2 3 9" xfId="1068" xr:uid="{1C5FF572-CAB0-430F-BFCA-17AFD96D8556}"/>
    <cellStyle name="20% - Accent5 2 4" xfId="611" xr:uid="{00000000-0005-0000-0000-000048000000}"/>
    <cellStyle name="20% - Accent5 2 4 2" xfId="4539" xr:uid="{C6FC1145-79B2-45E6-B6AD-D980815D3E03}"/>
    <cellStyle name="20% - Accent5 2 4 2 2" xfId="8757" xr:uid="{87D0C433-2D54-4697-89F6-2AB4E7FC4A0D}"/>
    <cellStyle name="20% - Accent5 2 4 3" xfId="6612" xr:uid="{3CF42A78-FB23-4CD7-A225-B326CB9D302C}"/>
    <cellStyle name="20% - Accent5 2 4 4" xfId="2308" xr:uid="{3733D977-D1A2-4396-A112-DD2A73039631}"/>
    <cellStyle name="20% - Accent5 2 4 5" xfId="1481" xr:uid="{54687569-5A61-4C7D-BF8D-B87A3B77032D}"/>
    <cellStyle name="20% - Accent5 2 4 6" xfId="10847" xr:uid="{7F283D06-A442-4963-8FEC-C5E02A54F31F}"/>
    <cellStyle name="20% - Accent5 2 5" xfId="2723" xr:uid="{2F0FEB53-03D0-4007-BBD6-1B8B57912B2E}"/>
    <cellStyle name="20% - Accent5 2 5 2" xfId="4952" xr:uid="{225BD89C-04F5-4B67-99D2-B1FD49078EB8}"/>
    <cellStyle name="20% - Accent5 2 5 2 2" xfId="9170" xr:uid="{D5CBD494-48D0-4645-8AE3-A261A1BD768E}"/>
    <cellStyle name="20% - Accent5 2 5 3" xfId="7025" xr:uid="{74E2DFD7-64DC-46BD-A0A2-6A9065E3A7F3}"/>
    <cellStyle name="20% - Accent5 2 6" xfId="3136" xr:uid="{082454ED-43B3-4084-8AE9-A5F4FECE1F07}"/>
    <cellStyle name="20% - Accent5 2 6 2" xfId="5365" xr:uid="{A22E2820-2C6F-4A5C-A841-7D1A0527A319}"/>
    <cellStyle name="20% - Accent5 2 6 2 2" xfId="9583" xr:uid="{E623BE22-DEA7-4436-9B40-FF0E0E34B590}"/>
    <cellStyle name="20% - Accent5 2 6 3" xfId="7438" xr:uid="{F4B3CB66-E3EE-4DF4-9657-1952542BDE29}"/>
    <cellStyle name="20% - Accent5 2 7" xfId="3549" xr:uid="{45D6DA84-A0F1-49E3-BE1E-D7C052B01B09}"/>
    <cellStyle name="20% - Accent5 2 7 2" xfId="5778" xr:uid="{A3266C05-F475-4E11-A826-74A83539A467}"/>
    <cellStyle name="20% - Accent5 2 7 2 2" xfId="9996" xr:uid="{A268C905-49E5-4D5F-8764-E41DAE0D6A6D}"/>
    <cellStyle name="20% - Accent5 2 7 3" xfId="7851" xr:uid="{C656496D-4F66-4B0B-946B-5AF2DD2CFF2E}"/>
    <cellStyle name="20% - Accent5 2 8" xfId="3962" xr:uid="{684EE4DD-A063-4CE3-9AD1-3FF32A99FA2F}"/>
    <cellStyle name="20% - Accent5 2 8 2" xfId="8264" xr:uid="{D4B7F726-007F-4888-8577-46CBCB8B2CED}"/>
    <cellStyle name="20% - Accent5 2 9" xfId="6198" xr:uid="{9F6F98AC-55D6-4F74-BAC4-875CE1680091}"/>
    <cellStyle name="20% - Accent5 3" xfId="38" xr:uid="{00000000-0005-0000-0000-000049000000}"/>
    <cellStyle name="20% - Accent5 3 10" xfId="1069" xr:uid="{6826BA50-4139-47DB-B41E-5AAEC424CE2F}"/>
    <cellStyle name="20% - Accent5 3 11" xfId="10435" xr:uid="{B53AE06F-09E0-4254-BC12-7FD5AC67F1D3}"/>
    <cellStyle name="20% - Accent5 3 2" xfId="39" xr:uid="{00000000-0005-0000-0000-00004A000000}"/>
    <cellStyle name="20% - Accent5 3 2 10" xfId="10436" xr:uid="{313506D7-A01F-4DE1-B49E-0A1EEB8B4EBA}"/>
    <cellStyle name="20% - Accent5 3 2 2" xfId="616" xr:uid="{00000000-0005-0000-0000-00004B000000}"/>
    <cellStyle name="20% - Accent5 3 2 2 2" xfId="4544" xr:uid="{D6C6E8EE-25D8-4172-8DA7-5147137E7F87}"/>
    <cellStyle name="20% - Accent5 3 2 2 2 2" xfId="8762" xr:uid="{767D9F9B-DF60-4FA2-BA68-DEA05F271D1F}"/>
    <cellStyle name="20% - Accent5 3 2 2 3" xfId="6617" xr:uid="{754BBE01-69A6-4D45-BB6A-1FD6B1D75E24}"/>
    <cellStyle name="20% - Accent5 3 2 2 4" xfId="2313" xr:uid="{A1987421-90B8-4F43-AF3B-D50BE038D5DF}"/>
    <cellStyle name="20% - Accent5 3 2 2 5" xfId="1486" xr:uid="{BD018ADC-5B60-4716-8AA7-78309A1B21F9}"/>
    <cellStyle name="20% - Accent5 3 2 2 6" xfId="10852" xr:uid="{4F753FC1-07C0-4930-8D7A-2B384826B372}"/>
    <cellStyle name="20% - Accent5 3 2 3" xfId="2728" xr:uid="{502D471B-88B8-4AD7-8624-12BE2DE0F0B9}"/>
    <cellStyle name="20% - Accent5 3 2 3 2" xfId="4957" xr:uid="{FB2C1355-26BF-4DB8-B5FB-8C7D84F30942}"/>
    <cellStyle name="20% - Accent5 3 2 3 2 2" xfId="9175" xr:uid="{70257B7A-33B7-4345-8390-F1482D981D74}"/>
    <cellStyle name="20% - Accent5 3 2 3 3" xfId="7030" xr:uid="{D81EC8D1-3A35-4624-A00B-A0FE1F3A68FC}"/>
    <cellStyle name="20% - Accent5 3 2 4" xfId="3141" xr:uid="{EC811C96-976D-4022-B8BC-302F3264811B}"/>
    <cellStyle name="20% - Accent5 3 2 4 2" xfId="5370" xr:uid="{A7694C7D-A8DA-4146-AFBC-55972DE1539E}"/>
    <cellStyle name="20% - Accent5 3 2 4 2 2" xfId="9588" xr:uid="{4D292807-EFE7-44FE-B87D-A782B5AE5128}"/>
    <cellStyle name="20% - Accent5 3 2 4 3" xfId="7443" xr:uid="{57120C3E-054E-48B8-846C-0A47B34B8EFD}"/>
    <cellStyle name="20% - Accent5 3 2 5" xfId="3554" xr:uid="{36E58E6A-6F47-48C4-8B7D-F33659128AB9}"/>
    <cellStyle name="20% - Accent5 3 2 5 2" xfId="5783" xr:uid="{115FD6B1-4557-4BC1-9085-F4C22C34F331}"/>
    <cellStyle name="20% - Accent5 3 2 5 2 2" xfId="10001" xr:uid="{F97E3999-165A-4C20-8517-560CD87B2BC5}"/>
    <cellStyle name="20% - Accent5 3 2 5 3" xfId="7856" xr:uid="{099052AE-E356-45E8-912E-BA989242250E}"/>
    <cellStyle name="20% - Accent5 3 2 6" xfId="3967" xr:uid="{833439C2-09BD-4AAE-8B88-BA20105D4966}"/>
    <cellStyle name="20% - Accent5 3 2 6 2" xfId="8269" xr:uid="{ACF700D3-27DB-4DF2-AE38-56D5340A32B7}"/>
    <cellStyle name="20% - Accent5 3 2 7" xfId="6203" xr:uid="{9A2DFD77-E199-41A3-8BF7-70621C5F463B}"/>
    <cellStyle name="20% - Accent5 3 2 8" xfId="1899" xr:uid="{EBA2AC50-9082-4BA8-9DAC-AD4ADCB40229}"/>
    <cellStyle name="20% - Accent5 3 2 9" xfId="1070" xr:uid="{4E576EA4-60B3-4D86-B695-10A148D29481}"/>
    <cellStyle name="20% - Accent5 3 3" xfId="615" xr:uid="{00000000-0005-0000-0000-00004C000000}"/>
    <cellStyle name="20% - Accent5 3 3 2" xfId="4543" xr:uid="{3B145E46-8927-43E3-A49F-B587BC3E83A6}"/>
    <cellStyle name="20% - Accent5 3 3 2 2" xfId="8761" xr:uid="{13731800-AA54-48A6-BC18-E4E670D3E7A5}"/>
    <cellStyle name="20% - Accent5 3 3 3" xfId="6616" xr:uid="{BDB594BA-AEFE-4354-97E2-A8CBC9A688C4}"/>
    <cellStyle name="20% - Accent5 3 3 4" xfId="2312" xr:uid="{2E40D397-A705-40C3-8006-94DEBB2847C1}"/>
    <cellStyle name="20% - Accent5 3 3 5" xfId="1485" xr:uid="{0201895D-A0F7-4BD8-B443-3BFFB1F9F30D}"/>
    <cellStyle name="20% - Accent5 3 3 6" xfId="10851" xr:uid="{C1084170-A905-48C4-B63A-697676621889}"/>
    <cellStyle name="20% - Accent5 3 4" xfId="2727" xr:uid="{D294EA58-83B8-4B2E-9387-172071B77787}"/>
    <cellStyle name="20% - Accent5 3 4 2" xfId="4956" xr:uid="{21D1B0D6-99DF-4634-8066-2C6BEBDD7C3E}"/>
    <cellStyle name="20% - Accent5 3 4 2 2" xfId="9174" xr:uid="{8DD056A1-BE7F-4207-8B73-BFDAF88E1408}"/>
    <cellStyle name="20% - Accent5 3 4 3" xfId="7029" xr:uid="{31083410-3268-40C5-8A01-C6F7F2434E87}"/>
    <cellStyle name="20% - Accent5 3 5" xfId="3140" xr:uid="{8F829644-C568-4CCB-ADDA-57C62A0701B1}"/>
    <cellStyle name="20% - Accent5 3 5 2" xfId="5369" xr:uid="{AC3FEC8E-A9A9-47C4-98CF-C54DB1DCD655}"/>
    <cellStyle name="20% - Accent5 3 5 2 2" xfId="9587" xr:uid="{0C33A8A9-21E0-4D1F-A906-24FE9E44B6EA}"/>
    <cellStyle name="20% - Accent5 3 5 3" xfId="7442" xr:uid="{94266405-5208-46EE-9B00-4B4734D41EF8}"/>
    <cellStyle name="20% - Accent5 3 6" xfId="3553" xr:uid="{418EEF44-528B-4D7E-9577-6452CF81B529}"/>
    <cellStyle name="20% - Accent5 3 6 2" xfId="5782" xr:uid="{97BDAD34-E722-4046-A2C1-650737987D37}"/>
    <cellStyle name="20% - Accent5 3 6 2 2" xfId="10000" xr:uid="{4F142975-2608-440F-97BC-E3E8AE2B7BE5}"/>
    <cellStyle name="20% - Accent5 3 6 3" xfId="7855" xr:uid="{40BFA65E-8D2D-43B3-B59B-C5EC7E8A6311}"/>
    <cellStyle name="20% - Accent5 3 7" xfId="3966" xr:uid="{C75C1DA6-F0B7-4393-845E-55029F0120EC}"/>
    <cellStyle name="20% - Accent5 3 7 2" xfId="8268" xr:uid="{4353CEE1-CF1E-4FD4-854F-DE08B0D5A8B0}"/>
    <cellStyle name="20% - Accent5 3 8" xfId="6202" xr:uid="{AA1DBEC3-866B-482D-B698-344521288D1D}"/>
    <cellStyle name="20% - Accent5 3 9" xfId="1898" xr:uid="{4C55A29D-45FE-4C37-998B-85B55824E247}"/>
    <cellStyle name="20% - Accent5 4" xfId="40" xr:uid="{00000000-0005-0000-0000-00004D000000}"/>
    <cellStyle name="20% - Accent5 4 10" xfId="10437" xr:uid="{850C7D2E-DACA-4BA6-8C6E-D9F1C3911CDB}"/>
    <cellStyle name="20% - Accent5 4 2" xfId="617" xr:uid="{00000000-0005-0000-0000-00004E000000}"/>
    <cellStyle name="20% - Accent5 4 2 2" xfId="4545" xr:uid="{C4437312-C318-40F9-8B5F-11965E8FF5E9}"/>
    <cellStyle name="20% - Accent5 4 2 2 2" xfId="8763" xr:uid="{18BBFD9C-025C-47DD-ABD3-2D4B6C80B29B}"/>
    <cellStyle name="20% - Accent5 4 2 3" xfId="6618" xr:uid="{BC5500BA-D484-4254-8D09-43FFE077699D}"/>
    <cellStyle name="20% - Accent5 4 2 4" xfId="2314" xr:uid="{05ED47D2-0C7F-4E2A-9C6C-D95EB1AFF1D9}"/>
    <cellStyle name="20% - Accent5 4 2 5" xfId="1487" xr:uid="{E18FB909-893B-48B9-8DA6-566B13D18FD6}"/>
    <cellStyle name="20% - Accent5 4 2 6" xfId="10853" xr:uid="{F9451742-30E6-439A-8CA7-FF933E0C4D78}"/>
    <cellStyle name="20% - Accent5 4 3" xfId="2729" xr:uid="{2F60050D-741B-45C1-8DF7-A0C06919D61B}"/>
    <cellStyle name="20% - Accent5 4 3 2" xfId="4958" xr:uid="{A8C44B5A-1D83-452F-9BE5-59A299895D4A}"/>
    <cellStyle name="20% - Accent5 4 3 2 2" xfId="9176" xr:uid="{AF554247-C4E3-4881-AC1E-BDE99D229C34}"/>
    <cellStyle name="20% - Accent5 4 3 3" xfId="7031" xr:uid="{955E8F6F-5ED0-4DDC-803C-130222808E39}"/>
    <cellStyle name="20% - Accent5 4 4" xfId="3142" xr:uid="{0C2196C5-C32A-44EA-A62D-7F94AB18A76B}"/>
    <cellStyle name="20% - Accent5 4 4 2" xfId="5371" xr:uid="{C5DC8F9C-376A-4070-AAD0-B39918A9E94F}"/>
    <cellStyle name="20% - Accent5 4 4 2 2" xfId="9589" xr:uid="{0DBAC376-3A07-4ABB-B11F-97C10458D22E}"/>
    <cellStyle name="20% - Accent5 4 4 3" xfId="7444" xr:uid="{E098D5B8-48D6-40CE-B618-12E6688FD01C}"/>
    <cellStyle name="20% - Accent5 4 5" xfId="3555" xr:uid="{5B0CE636-9DFF-4F49-A79C-120880F6B1B9}"/>
    <cellStyle name="20% - Accent5 4 5 2" xfId="5784" xr:uid="{C7458204-81BA-4A6C-B58F-2B7771F8F329}"/>
    <cellStyle name="20% - Accent5 4 5 2 2" xfId="10002" xr:uid="{0993D408-F257-4896-9457-A1BC329CF1A0}"/>
    <cellStyle name="20% - Accent5 4 5 3" xfId="7857" xr:uid="{17BAA213-8F75-4AE2-A77D-C30AB6A1EFB0}"/>
    <cellStyle name="20% - Accent5 4 6" xfId="3968" xr:uid="{F41956D8-864A-4C01-9C42-C037798EB6FE}"/>
    <cellStyle name="20% - Accent5 4 6 2" xfId="8270" xr:uid="{D5D37A43-D7DE-46E6-A5B2-703EBE98C68B}"/>
    <cellStyle name="20% - Accent5 4 7" xfId="6204" xr:uid="{E65BEEA1-5534-4F4E-8091-D2BCDBAADEDD}"/>
    <cellStyle name="20% - Accent5 4 8" xfId="1900" xr:uid="{53843F3B-3BF5-47AC-9C9F-A621351532BB}"/>
    <cellStyle name="20% - Accent5 4 9" xfId="1071" xr:uid="{A3DB389A-4503-4B1D-B315-3617DF6D5685}"/>
    <cellStyle name="20% - Accent5 5" xfId="610" xr:uid="{00000000-0005-0000-0000-00004F000000}"/>
    <cellStyle name="20% - Accent5 5 2" xfId="4538" xr:uid="{31D9F1A4-18FA-4E64-9177-44B91A474B8C}"/>
    <cellStyle name="20% - Accent5 5 2 2" xfId="8756" xr:uid="{1E525901-F6FB-4C8C-88D6-2C9CC2CF2FD4}"/>
    <cellStyle name="20% - Accent5 5 3" xfId="6611" xr:uid="{F944C9D2-C36B-4053-843C-E05ED68D831D}"/>
    <cellStyle name="20% - Accent5 5 4" xfId="2307" xr:uid="{91C57991-3B20-468E-A675-D222FE30A80E}"/>
    <cellStyle name="20% - Accent5 5 5" xfId="1480" xr:uid="{E71B674A-C7FC-46DC-ABD3-CA7114E49165}"/>
    <cellStyle name="20% - Accent5 5 6" xfId="10846" xr:uid="{5B0F68B8-DD67-4FCC-B12A-338108BF68DB}"/>
    <cellStyle name="20% - Accent5 6" xfId="2722" xr:uid="{04A1798E-2557-4EEE-BEE5-78E33F722D1A}"/>
    <cellStyle name="20% - Accent5 6 2" xfId="4951" xr:uid="{BC983665-11F2-4E34-91B0-DFB94CB57588}"/>
    <cellStyle name="20% - Accent5 6 2 2" xfId="9169" xr:uid="{0A86F5C3-71C6-4146-82E1-8547F1C4911E}"/>
    <cellStyle name="20% - Accent5 6 3" xfId="7024" xr:uid="{90310BDD-D503-44F1-B0FC-61A369176B23}"/>
    <cellStyle name="20% - Accent5 7" xfId="3135" xr:uid="{D5D11E28-FB27-47BC-9E42-81BD74E6DC2C}"/>
    <cellStyle name="20% - Accent5 7 2" xfId="5364" xr:uid="{21BFD514-7257-4B9C-9CB1-8892D7B49F30}"/>
    <cellStyle name="20% - Accent5 7 2 2" xfId="9582" xr:uid="{7846156C-EA41-4FB9-B3AB-28628A3FDD1D}"/>
    <cellStyle name="20% - Accent5 7 3" xfId="7437" xr:uid="{8A2898A9-FC0A-4746-8E57-B497D20A0175}"/>
    <cellStyle name="20% - Accent5 8" xfId="3548" xr:uid="{CE3BF32F-8BBD-41D8-9AB5-78807910C8A0}"/>
    <cellStyle name="20% - Accent5 8 2" xfId="5777" xr:uid="{5761A010-CF8A-4BD0-907A-C22A362259C3}"/>
    <cellStyle name="20% - Accent5 8 2 2" xfId="9995" xr:uid="{B6849584-62E3-4E62-9D83-91A5D5A73A3B}"/>
    <cellStyle name="20% - Accent5 8 3" xfId="7850" xr:uid="{61C72A59-D2AA-446A-9871-3840F3302C7D}"/>
    <cellStyle name="20% - Accent5 9" xfId="3961" xr:uid="{1F62D6ED-1DD4-405E-9A2B-1103FFBBC914}"/>
    <cellStyle name="20% - Accent5 9 2" xfId="8263" xr:uid="{B25ABB8E-DB6D-4BA7-B67B-F3F76EA40EF5}"/>
    <cellStyle name="20% - Accent6" xfId="41" builtinId="50" customBuiltin="1"/>
    <cellStyle name="20% - Accent6 10" xfId="6205" xr:uid="{9724427B-AE52-45F3-BD89-66F88A040665}"/>
    <cellStyle name="20% - Accent6 11" xfId="1901" xr:uid="{27866C71-C8A0-4941-9974-AD4A9EC878B5}"/>
    <cellStyle name="20% - Accent6 12" xfId="1072" xr:uid="{BF6A05EB-6EB9-4E91-A591-53D21673C29B}"/>
    <cellStyle name="20% - Accent6 13" xfId="10438" xr:uid="{C93FCC36-4CA9-466E-BFB9-56CDDC4BED08}"/>
    <cellStyle name="20% - Accent6 2" xfId="42" xr:uid="{00000000-0005-0000-0000-000051000000}"/>
    <cellStyle name="20% - Accent6 2 10" xfId="1902" xr:uid="{E1F96F45-156A-47FB-B060-B3B594581BA2}"/>
    <cellStyle name="20% - Accent6 2 11" xfId="1073" xr:uid="{11384662-DA83-4D3B-A139-853DCA1D5A42}"/>
    <cellStyle name="20% - Accent6 2 12" xfId="10439" xr:uid="{9F8464D3-D827-484C-8A6E-C2E7CFE2A93D}"/>
    <cellStyle name="20% - Accent6 2 2" xfId="43" xr:uid="{00000000-0005-0000-0000-000052000000}"/>
    <cellStyle name="20% - Accent6 2 2 10" xfId="1074" xr:uid="{234861C8-2D0C-4C50-AF94-74B6E67BFFF8}"/>
    <cellStyle name="20% - Accent6 2 2 11" xfId="10440" xr:uid="{291203E0-C967-49C7-9C05-0FCC424C5303}"/>
    <cellStyle name="20% - Accent6 2 2 2" xfId="44" xr:uid="{00000000-0005-0000-0000-000053000000}"/>
    <cellStyle name="20% - Accent6 2 2 2 10" xfId="10441" xr:uid="{933B9409-2958-43ED-8477-60CC6CB3DF99}"/>
    <cellStyle name="20% - Accent6 2 2 2 2" xfId="621" xr:uid="{00000000-0005-0000-0000-000054000000}"/>
    <cellStyle name="20% - Accent6 2 2 2 2 2" xfId="4549" xr:uid="{764E5FDC-5A29-4A7C-BB3A-556AC8B53541}"/>
    <cellStyle name="20% - Accent6 2 2 2 2 2 2" xfId="8767" xr:uid="{ADD1716C-113F-4E05-849B-4C36EF05A203}"/>
    <cellStyle name="20% - Accent6 2 2 2 2 3" xfId="6622" xr:uid="{D5337114-DBDC-4A21-9FD8-6F3085D7112C}"/>
    <cellStyle name="20% - Accent6 2 2 2 2 4" xfId="2318" xr:uid="{AE3EFEBE-3ADD-40AD-AFA8-CADD59EF35CB}"/>
    <cellStyle name="20% - Accent6 2 2 2 2 5" xfId="1491" xr:uid="{A1AB1E83-9853-4795-B4CE-9FE83CF3CDD5}"/>
    <cellStyle name="20% - Accent6 2 2 2 2 6" xfId="10857" xr:uid="{DF3A503D-20E7-4C87-81B8-C16A65669E71}"/>
    <cellStyle name="20% - Accent6 2 2 2 3" xfId="2733" xr:uid="{EDC8F42A-6E52-4D09-AA59-56728D1BDA1C}"/>
    <cellStyle name="20% - Accent6 2 2 2 3 2" xfId="4962" xr:uid="{9AE8FBE5-2D46-4DF9-9442-022FC0DE6261}"/>
    <cellStyle name="20% - Accent6 2 2 2 3 2 2" xfId="9180" xr:uid="{10074DFE-687C-415E-BF3E-7C790BCE759F}"/>
    <cellStyle name="20% - Accent6 2 2 2 3 3" xfId="7035" xr:uid="{B7124E94-402B-40D3-B633-BE6762539A6B}"/>
    <cellStyle name="20% - Accent6 2 2 2 4" xfId="3146" xr:uid="{4B760F8A-F140-4CE1-AB8E-12290F05FFB3}"/>
    <cellStyle name="20% - Accent6 2 2 2 4 2" xfId="5375" xr:uid="{9BC61E2E-A542-43FC-8451-FE79961DA426}"/>
    <cellStyle name="20% - Accent6 2 2 2 4 2 2" xfId="9593" xr:uid="{07305E06-7943-4A63-A7C7-27B075546702}"/>
    <cellStyle name="20% - Accent6 2 2 2 4 3" xfId="7448" xr:uid="{C8BBFE06-5B3C-43B4-B084-876DFBA4AADD}"/>
    <cellStyle name="20% - Accent6 2 2 2 5" xfId="3559" xr:uid="{2D7F2CF1-CC08-442E-AA05-650C6B32B5E4}"/>
    <cellStyle name="20% - Accent6 2 2 2 5 2" xfId="5788" xr:uid="{88FC15E2-956A-4E2A-8599-660FE7CE5106}"/>
    <cellStyle name="20% - Accent6 2 2 2 5 2 2" xfId="10006" xr:uid="{EFC8F92E-A6CC-456D-A989-63E77F771BBC}"/>
    <cellStyle name="20% - Accent6 2 2 2 5 3" xfId="7861" xr:uid="{BE179289-68C9-4977-9F9C-58C527962040}"/>
    <cellStyle name="20% - Accent6 2 2 2 6" xfId="3972" xr:uid="{D9158FA2-D3F3-4650-BB8D-320CF82B54DA}"/>
    <cellStyle name="20% - Accent6 2 2 2 6 2" xfId="8274" xr:uid="{89FB65D4-EFB5-49A3-80C4-914F6A466875}"/>
    <cellStyle name="20% - Accent6 2 2 2 7" xfId="6208" xr:uid="{1D601A4A-C40D-4B0B-8B7C-FA18779C6750}"/>
    <cellStyle name="20% - Accent6 2 2 2 8" xfId="1904" xr:uid="{70DE1551-5E43-4D6D-A2DA-F0A40915F53E}"/>
    <cellStyle name="20% - Accent6 2 2 2 9" xfId="1075" xr:uid="{1FF46A11-329D-4EBB-BC9A-E25865262253}"/>
    <cellStyle name="20% - Accent6 2 2 3" xfId="620" xr:uid="{00000000-0005-0000-0000-000055000000}"/>
    <cellStyle name="20% - Accent6 2 2 3 2" xfId="4548" xr:uid="{F90A0AE5-57E2-4281-85FD-1211A70D24FE}"/>
    <cellStyle name="20% - Accent6 2 2 3 2 2" xfId="8766" xr:uid="{93CE30E5-5DCA-4768-859C-124E314C517D}"/>
    <cellStyle name="20% - Accent6 2 2 3 3" xfId="6621" xr:uid="{E72004CB-C0AF-449B-9FF0-4328905EA843}"/>
    <cellStyle name="20% - Accent6 2 2 3 4" xfId="2317" xr:uid="{0FFA0421-BDFC-45A6-BE0A-FF1F587543C4}"/>
    <cellStyle name="20% - Accent6 2 2 3 5" xfId="1490" xr:uid="{917EFD15-82D3-4314-BDAA-0449D0831369}"/>
    <cellStyle name="20% - Accent6 2 2 3 6" xfId="10856" xr:uid="{C598A66D-0061-41A3-BC07-C7480136AD68}"/>
    <cellStyle name="20% - Accent6 2 2 4" xfId="2732" xr:uid="{1BFD9739-E81A-46AC-B9FA-987769D42CE0}"/>
    <cellStyle name="20% - Accent6 2 2 4 2" xfId="4961" xr:uid="{D7301335-4602-4BEE-BC6C-9447361362B9}"/>
    <cellStyle name="20% - Accent6 2 2 4 2 2" xfId="9179" xr:uid="{002D1CEE-2998-4873-BAF2-E38D9F02B854}"/>
    <cellStyle name="20% - Accent6 2 2 4 3" xfId="7034" xr:uid="{944194BA-A6B7-406F-82DF-EBEC080DDAC3}"/>
    <cellStyle name="20% - Accent6 2 2 5" xfId="3145" xr:uid="{FEC2469B-3008-4619-B2D2-9D1E89ACA8CF}"/>
    <cellStyle name="20% - Accent6 2 2 5 2" xfId="5374" xr:uid="{9E6F823A-8AA9-4345-9BCA-7597D4223C6C}"/>
    <cellStyle name="20% - Accent6 2 2 5 2 2" xfId="9592" xr:uid="{728A2656-D33F-4753-B96D-67C623AF4EB7}"/>
    <cellStyle name="20% - Accent6 2 2 5 3" xfId="7447" xr:uid="{28268E8A-05EA-40BC-8054-9E91CEBEB2E6}"/>
    <cellStyle name="20% - Accent6 2 2 6" xfId="3558" xr:uid="{0764F287-E271-4ED4-AEAD-EAB5AB2A5674}"/>
    <cellStyle name="20% - Accent6 2 2 6 2" xfId="5787" xr:uid="{9C073629-F5F2-4BB7-9A62-AEDF40CFF795}"/>
    <cellStyle name="20% - Accent6 2 2 6 2 2" xfId="10005" xr:uid="{5F6A8CCF-C8C3-4BBB-B482-DD293F782DA1}"/>
    <cellStyle name="20% - Accent6 2 2 6 3" xfId="7860" xr:uid="{9BE62FEF-A622-4CBD-950F-573A94CB1D67}"/>
    <cellStyle name="20% - Accent6 2 2 7" xfId="3971" xr:uid="{8C7E9015-D29F-4F5F-9D47-1A94C8BF9DE7}"/>
    <cellStyle name="20% - Accent6 2 2 7 2" xfId="8273" xr:uid="{F23A203E-834F-4ED6-9491-DC14E872656F}"/>
    <cellStyle name="20% - Accent6 2 2 8" xfId="6207" xr:uid="{26EA956B-1D99-4A8D-A06C-967106C362FD}"/>
    <cellStyle name="20% - Accent6 2 2 9" xfId="1903" xr:uid="{76984571-A5D5-449C-AEDD-0A93A9595461}"/>
    <cellStyle name="20% - Accent6 2 3" xfId="45" xr:uid="{00000000-0005-0000-0000-000056000000}"/>
    <cellStyle name="20% - Accent6 2 3 10" xfId="10442" xr:uid="{B72B693B-A896-47DD-B28E-7A52B8DE076A}"/>
    <cellStyle name="20% - Accent6 2 3 2" xfId="622" xr:uid="{00000000-0005-0000-0000-000057000000}"/>
    <cellStyle name="20% - Accent6 2 3 2 2" xfId="4550" xr:uid="{2A5E72D3-5EAE-44AD-99E0-5A36D654C9AF}"/>
    <cellStyle name="20% - Accent6 2 3 2 2 2" xfId="8768" xr:uid="{1B8DA2D5-8BA3-432A-9A18-C5690C577548}"/>
    <cellStyle name="20% - Accent6 2 3 2 3" xfId="6623" xr:uid="{B7ABA4A4-03BA-420C-8CBC-3509801959A1}"/>
    <cellStyle name="20% - Accent6 2 3 2 4" xfId="2319" xr:uid="{87B9AB4A-4639-4149-99E8-D85B06089B30}"/>
    <cellStyle name="20% - Accent6 2 3 2 5" xfId="1492" xr:uid="{0FAD114E-5398-4855-BAE5-6C0AE1BE5E3B}"/>
    <cellStyle name="20% - Accent6 2 3 2 6" xfId="10858" xr:uid="{A62607DF-AE65-4780-8867-1F99B895F193}"/>
    <cellStyle name="20% - Accent6 2 3 3" xfId="2734" xr:uid="{4738A07B-F638-4A11-8D48-FE075021A099}"/>
    <cellStyle name="20% - Accent6 2 3 3 2" xfId="4963" xr:uid="{DE3F158C-0043-4049-8D10-3A7384FC4B01}"/>
    <cellStyle name="20% - Accent6 2 3 3 2 2" xfId="9181" xr:uid="{4448CC01-7AD8-4114-8897-C73E8A54C4FA}"/>
    <cellStyle name="20% - Accent6 2 3 3 3" xfId="7036" xr:uid="{FF424F24-B21B-409B-9120-20A09BA2C30C}"/>
    <cellStyle name="20% - Accent6 2 3 4" xfId="3147" xr:uid="{6EC2BF07-B355-47CD-9792-611BC2CAFC62}"/>
    <cellStyle name="20% - Accent6 2 3 4 2" xfId="5376" xr:uid="{ABA0DED9-D5FA-4ADA-9C29-05E0FFA229B3}"/>
    <cellStyle name="20% - Accent6 2 3 4 2 2" xfId="9594" xr:uid="{5384BBA8-E92E-4A5A-AAA3-12B8DF5EE4B4}"/>
    <cellStyle name="20% - Accent6 2 3 4 3" xfId="7449" xr:uid="{3A02E5B9-D3B8-46C1-88C2-502CE1D0E8B1}"/>
    <cellStyle name="20% - Accent6 2 3 5" xfId="3560" xr:uid="{3A07D147-B0D1-449E-972B-F3EA7D87F318}"/>
    <cellStyle name="20% - Accent6 2 3 5 2" xfId="5789" xr:uid="{93E87653-A1D1-4A61-978B-B470F572DD8A}"/>
    <cellStyle name="20% - Accent6 2 3 5 2 2" xfId="10007" xr:uid="{92EBB12D-1539-4AF4-A07A-4F0A0A3D051E}"/>
    <cellStyle name="20% - Accent6 2 3 5 3" xfId="7862" xr:uid="{A0E3D700-1B32-474A-90F3-B7B64461D68B}"/>
    <cellStyle name="20% - Accent6 2 3 6" xfId="3973" xr:uid="{AF520AA7-F498-48D0-9F3A-ED4C7D6ABD43}"/>
    <cellStyle name="20% - Accent6 2 3 6 2" xfId="8275" xr:uid="{6EE6AEEB-3238-4CDC-ABA9-4B11D561B29B}"/>
    <cellStyle name="20% - Accent6 2 3 7" xfId="6209" xr:uid="{DDF80BF0-B974-4538-8B91-1CD3D30B3577}"/>
    <cellStyle name="20% - Accent6 2 3 8" xfId="1905" xr:uid="{D39EAD03-F6E1-452E-90C3-9DB0B2A1D777}"/>
    <cellStyle name="20% - Accent6 2 3 9" xfId="1076" xr:uid="{B9063D72-F411-4051-B4F1-1CFECB82C317}"/>
    <cellStyle name="20% - Accent6 2 4" xfId="619" xr:uid="{00000000-0005-0000-0000-000058000000}"/>
    <cellStyle name="20% - Accent6 2 4 2" xfId="4547" xr:uid="{B449F67D-C247-42FF-A088-5C53FAAAA2D3}"/>
    <cellStyle name="20% - Accent6 2 4 2 2" xfId="8765" xr:uid="{EF897FA5-FE79-4376-BE2F-0F50A97741F2}"/>
    <cellStyle name="20% - Accent6 2 4 3" xfId="6620" xr:uid="{F672DBD7-97D9-4EDD-B48F-BA1F91D09256}"/>
    <cellStyle name="20% - Accent6 2 4 4" xfId="2316" xr:uid="{F1374559-10F0-4A70-993E-BF6F9379023B}"/>
    <cellStyle name="20% - Accent6 2 4 5" xfId="1489" xr:uid="{7D4B2656-6A20-463C-9FDE-F8BDA9664CE2}"/>
    <cellStyle name="20% - Accent6 2 4 6" xfId="10855" xr:uid="{333B9C73-E0CA-402D-B419-7B617F15E7A4}"/>
    <cellStyle name="20% - Accent6 2 5" xfId="2731" xr:uid="{10768480-8FB3-4CB3-9CD4-02E860B6E2B9}"/>
    <cellStyle name="20% - Accent6 2 5 2" xfId="4960" xr:uid="{C857F7DC-485C-4458-9F35-E1C462ADED07}"/>
    <cellStyle name="20% - Accent6 2 5 2 2" xfId="9178" xr:uid="{9C46B576-29FE-4683-A085-A9F81BE4FFD6}"/>
    <cellStyle name="20% - Accent6 2 5 3" xfId="7033" xr:uid="{DD8B3531-A9DA-4341-BCA4-67F76B894AE0}"/>
    <cellStyle name="20% - Accent6 2 6" xfId="3144" xr:uid="{3E665604-23C2-4971-89E6-C80912D02191}"/>
    <cellStyle name="20% - Accent6 2 6 2" xfId="5373" xr:uid="{42843D3F-F099-48DA-86FB-DBC7C6299B8E}"/>
    <cellStyle name="20% - Accent6 2 6 2 2" xfId="9591" xr:uid="{BAE8FF7B-9A09-4262-BD25-5BD9464E92C0}"/>
    <cellStyle name="20% - Accent6 2 6 3" xfId="7446" xr:uid="{215D257A-FACC-430D-BB7B-9A6777C3669C}"/>
    <cellStyle name="20% - Accent6 2 7" xfId="3557" xr:uid="{0763DF0A-3134-4783-876D-8EDECF2D9B43}"/>
    <cellStyle name="20% - Accent6 2 7 2" xfId="5786" xr:uid="{1479AF85-2CED-4BA5-9DC1-99D16C95AFD0}"/>
    <cellStyle name="20% - Accent6 2 7 2 2" xfId="10004" xr:uid="{A13BB61C-8A32-4610-9F7B-C2BEACE0C8CD}"/>
    <cellStyle name="20% - Accent6 2 7 3" xfId="7859" xr:uid="{4BF95957-44CE-4F2E-972E-720CA4364B76}"/>
    <cellStyle name="20% - Accent6 2 8" xfId="3970" xr:uid="{6CF17785-CC95-4441-8725-0CE8BE869B18}"/>
    <cellStyle name="20% - Accent6 2 8 2" xfId="8272" xr:uid="{81D863C1-39E6-469B-85D1-85E2B16BEFC1}"/>
    <cellStyle name="20% - Accent6 2 9" xfId="6206" xr:uid="{65B7F157-AA7C-4325-9CDD-7969A0EC17AC}"/>
    <cellStyle name="20% - Accent6 3" xfId="46" xr:uid="{00000000-0005-0000-0000-000059000000}"/>
    <cellStyle name="20% - Accent6 3 10" xfId="1077" xr:uid="{6FFBC18E-8F91-4AA8-8DBE-E0A781534B3A}"/>
    <cellStyle name="20% - Accent6 3 11" xfId="10443" xr:uid="{25B914CD-A9A2-480F-9A0F-BE3E06B53367}"/>
    <cellStyle name="20% - Accent6 3 2" xfId="47" xr:uid="{00000000-0005-0000-0000-00005A000000}"/>
    <cellStyle name="20% - Accent6 3 2 10" xfId="10444" xr:uid="{65E1FFD2-86AD-4710-9E52-520E0C132D55}"/>
    <cellStyle name="20% - Accent6 3 2 2" xfId="624" xr:uid="{00000000-0005-0000-0000-00005B000000}"/>
    <cellStyle name="20% - Accent6 3 2 2 2" xfId="4552" xr:uid="{4A7630F5-41A0-4044-B8E4-75422765215C}"/>
    <cellStyle name="20% - Accent6 3 2 2 2 2" xfId="8770" xr:uid="{FE74D2B6-0B10-4AD3-B592-E6271996D1CA}"/>
    <cellStyle name="20% - Accent6 3 2 2 3" xfId="6625" xr:uid="{D3427E49-DB12-43D0-A36F-7D000B6AF6FD}"/>
    <cellStyle name="20% - Accent6 3 2 2 4" xfId="2321" xr:uid="{E8FAB1D9-A3AF-4F8E-AE89-F4000E1C457D}"/>
    <cellStyle name="20% - Accent6 3 2 2 5" xfId="1494" xr:uid="{B3E40633-B61B-41F0-8EAF-D5593F6A4F31}"/>
    <cellStyle name="20% - Accent6 3 2 2 6" xfId="10860" xr:uid="{46975784-DBF5-4AD0-874F-D811C6A72862}"/>
    <cellStyle name="20% - Accent6 3 2 3" xfId="2736" xr:uid="{FD7C1F07-52C4-4F77-B869-C1889606C0C1}"/>
    <cellStyle name="20% - Accent6 3 2 3 2" xfId="4965" xr:uid="{C95B8876-09CC-4E5D-B7A1-FD3F39E52945}"/>
    <cellStyle name="20% - Accent6 3 2 3 2 2" xfId="9183" xr:uid="{64D64D06-58E7-44B2-B770-4C2D3671C41B}"/>
    <cellStyle name="20% - Accent6 3 2 3 3" xfId="7038" xr:uid="{2F87560F-F0EC-4F35-B2A1-BF8F59969B58}"/>
    <cellStyle name="20% - Accent6 3 2 4" xfId="3149" xr:uid="{EF02D037-7FDD-4D55-8FA0-58D531DAF8D8}"/>
    <cellStyle name="20% - Accent6 3 2 4 2" xfId="5378" xr:uid="{38AAB49D-19C9-4893-B220-5619AAEE9173}"/>
    <cellStyle name="20% - Accent6 3 2 4 2 2" xfId="9596" xr:uid="{03E82C5E-069A-4707-B341-5E41AED30047}"/>
    <cellStyle name="20% - Accent6 3 2 4 3" xfId="7451" xr:uid="{E51E5A84-5D77-4532-920A-4A58BFE59C83}"/>
    <cellStyle name="20% - Accent6 3 2 5" xfId="3562" xr:uid="{C07316FA-E8FD-4A40-8086-210E6DA52489}"/>
    <cellStyle name="20% - Accent6 3 2 5 2" xfId="5791" xr:uid="{D0AE04DD-5139-4362-A2EF-BACAE99A6326}"/>
    <cellStyle name="20% - Accent6 3 2 5 2 2" xfId="10009" xr:uid="{CBC4BD78-C288-4BCC-8F55-0FB8011D8C26}"/>
    <cellStyle name="20% - Accent6 3 2 5 3" xfId="7864" xr:uid="{C121DD4F-99AC-43AE-B0DE-94CAAF257A4E}"/>
    <cellStyle name="20% - Accent6 3 2 6" xfId="3975" xr:uid="{DC0A43D0-5512-4A89-A0F9-6EE321A82B88}"/>
    <cellStyle name="20% - Accent6 3 2 6 2" xfId="8277" xr:uid="{05B411EC-3735-48C3-A8E3-9BFFB1F51F73}"/>
    <cellStyle name="20% - Accent6 3 2 7" xfId="6211" xr:uid="{8E3DC718-02B5-4A0B-9E52-0E2168A3BB15}"/>
    <cellStyle name="20% - Accent6 3 2 8" xfId="1907" xr:uid="{189CB3C9-242B-42A5-96C3-01D0D0668837}"/>
    <cellStyle name="20% - Accent6 3 2 9" xfId="1078" xr:uid="{815B2189-60E6-4971-880F-A94F517B2EB9}"/>
    <cellStyle name="20% - Accent6 3 3" xfId="623" xr:uid="{00000000-0005-0000-0000-00005C000000}"/>
    <cellStyle name="20% - Accent6 3 3 2" xfId="4551" xr:uid="{9F63428F-779F-4588-9F28-785ABE9759C2}"/>
    <cellStyle name="20% - Accent6 3 3 2 2" xfId="8769" xr:uid="{9801A74A-CC78-47E7-BE9A-C8EB1256DE19}"/>
    <cellStyle name="20% - Accent6 3 3 3" xfId="6624" xr:uid="{4AE14DD7-462F-4104-A604-123A8000CE7C}"/>
    <cellStyle name="20% - Accent6 3 3 4" xfId="2320" xr:uid="{C46BAB12-5C08-46E9-84B2-251F52D19473}"/>
    <cellStyle name="20% - Accent6 3 3 5" xfId="1493" xr:uid="{F93D21D4-04DF-403E-84B9-1D0E75F215AB}"/>
    <cellStyle name="20% - Accent6 3 3 6" xfId="10859" xr:uid="{09581F16-44A3-41D5-B90C-DBA812333897}"/>
    <cellStyle name="20% - Accent6 3 4" xfId="2735" xr:uid="{C476F077-E2E8-47CD-B412-DB9D6BBCCE86}"/>
    <cellStyle name="20% - Accent6 3 4 2" xfId="4964" xr:uid="{B0D0DA60-3ECE-408C-AE92-8F3AFED2C4D5}"/>
    <cellStyle name="20% - Accent6 3 4 2 2" xfId="9182" xr:uid="{0AA26099-5809-40AC-A5D0-879EC74B603C}"/>
    <cellStyle name="20% - Accent6 3 4 3" xfId="7037" xr:uid="{6EB6AECB-F0FC-456B-A445-E9BBEE7BA532}"/>
    <cellStyle name="20% - Accent6 3 5" xfId="3148" xr:uid="{572EB987-6FF6-45D8-A060-0DC4E3022A06}"/>
    <cellStyle name="20% - Accent6 3 5 2" xfId="5377" xr:uid="{8E1FC0EE-0F35-45C5-9349-E3AD0B8BAED5}"/>
    <cellStyle name="20% - Accent6 3 5 2 2" xfId="9595" xr:uid="{C07DCB79-110B-4F87-B7D9-5828A0029523}"/>
    <cellStyle name="20% - Accent6 3 5 3" xfId="7450" xr:uid="{1FAE3CEA-24BF-43DA-9D73-064E53C1E6E7}"/>
    <cellStyle name="20% - Accent6 3 6" xfId="3561" xr:uid="{482831E0-BDE6-47B7-9A69-2B19CA046D03}"/>
    <cellStyle name="20% - Accent6 3 6 2" xfId="5790" xr:uid="{662380BA-3697-48F9-9AFB-153781D7D69A}"/>
    <cellStyle name="20% - Accent6 3 6 2 2" xfId="10008" xr:uid="{948A834C-99DA-40D7-A8AE-7981CB4489BB}"/>
    <cellStyle name="20% - Accent6 3 6 3" xfId="7863" xr:uid="{186800A8-78E2-4C9F-9833-BFD6D27B2903}"/>
    <cellStyle name="20% - Accent6 3 7" xfId="3974" xr:uid="{7B67AAD1-C61B-4C93-8DAF-E03A40D59EDB}"/>
    <cellStyle name="20% - Accent6 3 7 2" xfId="8276" xr:uid="{D368C153-966A-434D-92C7-ABB4F078E0E7}"/>
    <cellStyle name="20% - Accent6 3 8" xfId="6210" xr:uid="{52868109-157D-4AB3-B218-2A0EDCE15E9A}"/>
    <cellStyle name="20% - Accent6 3 9" xfId="1906" xr:uid="{82E4E30D-D891-41C8-83AA-F2F6A394C524}"/>
    <cellStyle name="20% - Accent6 4" xfId="48" xr:uid="{00000000-0005-0000-0000-00005D000000}"/>
    <cellStyle name="20% - Accent6 4 10" xfId="10445" xr:uid="{D2CF499C-BCDF-497C-AB56-B2BE53325234}"/>
    <cellStyle name="20% - Accent6 4 2" xfId="625" xr:uid="{00000000-0005-0000-0000-00005E000000}"/>
    <cellStyle name="20% - Accent6 4 2 2" xfId="4553" xr:uid="{29E01605-9968-42EA-BE5D-910DC329159E}"/>
    <cellStyle name="20% - Accent6 4 2 2 2" xfId="8771" xr:uid="{8B2777D9-F8EF-471D-9CCD-AF26C7BD342A}"/>
    <cellStyle name="20% - Accent6 4 2 3" xfId="6626" xr:uid="{AA0196F4-A132-4E36-858A-529339CBE7C1}"/>
    <cellStyle name="20% - Accent6 4 2 4" xfId="2322" xr:uid="{7734A5CA-AC2E-44A5-A745-DBC39EE2A00E}"/>
    <cellStyle name="20% - Accent6 4 2 5" xfId="1495" xr:uid="{11324445-3D84-4B06-984D-2555BFD9C4E6}"/>
    <cellStyle name="20% - Accent6 4 2 6" xfId="10861" xr:uid="{4FC6926F-CDB3-44B8-B58F-63870A9053A5}"/>
    <cellStyle name="20% - Accent6 4 3" xfId="2737" xr:uid="{D090FF9C-A152-49F5-83F4-280808244FAB}"/>
    <cellStyle name="20% - Accent6 4 3 2" xfId="4966" xr:uid="{B90F05E5-10EC-4A2C-A660-0010E5B32BF8}"/>
    <cellStyle name="20% - Accent6 4 3 2 2" xfId="9184" xr:uid="{C9E53BA7-9029-4827-904B-F1E5B66D7017}"/>
    <cellStyle name="20% - Accent6 4 3 3" xfId="7039" xr:uid="{C7A4B366-80FE-40F3-9C88-5BE5846CCED5}"/>
    <cellStyle name="20% - Accent6 4 4" xfId="3150" xr:uid="{3002EDF2-7F30-4757-A4D6-EB6A83F5E567}"/>
    <cellStyle name="20% - Accent6 4 4 2" xfId="5379" xr:uid="{5128F2DD-2447-4844-8A3E-35DCB32E6C6E}"/>
    <cellStyle name="20% - Accent6 4 4 2 2" xfId="9597" xr:uid="{1D57C0A2-F9D4-4ACE-A853-2946E61BBA2A}"/>
    <cellStyle name="20% - Accent6 4 4 3" xfId="7452" xr:uid="{FAE5564A-C1B7-4684-B920-2BF496CED146}"/>
    <cellStyle name="20% - Accent6 4 5" xfId="3563" xr:uid="{30BD876E-D053-40C9-BC03-0277AD22C034}"/>
    <cellStyle name="20% - Accent6 4 5 2" xfId="5792" xr:uid="{481002A6-D76A-436D-BD10-92C49A89E46B}"/>
    <cellStyle name="20% - Accent6 4 5 2 2" xfId="10010" xr:uid="{BBC4591D-35E2-4603-A8EF-17B6CBB17289}"/>
    <cellStyle name="20% - Accent6 4 5 3" xfId="7865" xr:uid="{E60B8091-69F0-4BEE-BEA6-83DE661075D8}"/>
    <cellStyle name="20% - Accent6 4 6" xfId="3976" xr:uid="{554D46B9-CA47-4301-AA72-69F39EF006D7}"/>
    <cellStyle name="20% - Accent6 4 6 2" xfId="8278" xr:uid="{7B79843D-E488-4B23-8261-D71CD8374410}"/>
    <cellStyle name="20% - Accent6 4 7" xfId="6212" xr:uid="{F1E2863A-4845-49AB-99A3-7575812EAD73}"/>
    <cellStyle name="20% - Accent6 4 8" xfId="1908" xr:uid="{B10EAEBC-7289-49B5-ADEE-F9FB85FE2CA6}"/>
    <cellStyle name="20% - Accent6 4 9" xfId="1079" xr:uid="{D3337C8C-B5D8-4EA1-8ED8-2F80C04D2F39}"/>
    <cellStyle name="20% - Accent6 5" xfId="618" xr:uid="{00000000-0005-0000-0000-00005F000000}"/>
    <cellStyle name="20% - Accent6 5 2" xfId="4546" xr:uid="{EC3EFDEE-B130-4AFD-ACF8-518E1E4F134B}"/>
    <cellStyle name="20% - Accent6 5 2 2" xfId="8764" xr:uid="{198A4711-855A-46C8-B185-47564B783894}"/>
    <cellStyle name="20% - Accent6 5 3" xfId="6619" xr:uid="{D7CF098B-E165-4BA2-8A9A-54E1632D3BAB}"/>
    <cellStyle name="20% - Accent6 5 4" xfId="2315" xr:uid="{E4CF7D81-7642-4383-9477-A2E50CC38B0F}"/>
    <cellStyle name="20% - Accent6 5 5" xfId="1488" xr:uid="{A9C10DAF-79BB-42B6-8AA9-299F305F51FD}"/>
    <cellStyle name="20% - Accent6 5 6" xfId="10854" xr:uid="{7922BB54-4BBF-4D84-ACAB-395F0F1F6A6E}"/>
    <cellStyle name="20% - Accent6 6" xfId="2730" xr:uid="{0D334D85-FC11-4DE4-ABD5-E96BAC896955}"/>
    <cellStyle name="20% - Accent6 6 2" xfId="4959" xr:uid="{62806600-AAB5-422A-96FA-F1790346B9C5}"/>
    <cellStyle name="20% - Accent6 6 2 2" xfId="9177" xr:uid="{215E18F6-203B-4BBC-A7D9-68888A2D4818}"/>
    <cellStyle name="20% - Accent6 6 3" xfId="7032" xr:uid="{6712EF91-9A6F-4A8E-A91F-2A79BE5C98A9}"/>
    <cellStyle name="20% - Accent6 7" xfId="3143" xr:uid="{64DCC94A-628C-4B12-80F1-70FC58E4FCF8}"/>
    <cellStyle name="20% - Accent6 7 2" xfId="5372" xr:uid="{C2ED9908-D8DD-4667-8600-8F7226358109}"/>
    <cellStyle name="20% - Accent6 7 2 2" xfId="9590" xr:uid="{49BD65BC-1E55-49F6-BAB5-EADA64C65D00}"/>
    <cellStyle name="20% - Accent6 7 3" xfId="7445" xr:uid="{C1565A29-AEE7-46D7-86DD-B75958F4B09D}"/>
    <cellStyle name="20% - Accent6 8" xfId="3556" xr:uid="{10A54E46-5A7E-422A-8007-6ACEB7A5B9D6}"/>
    <cellStyle name="20% - Accent6 8 2" xfId="5785" xr:uid="{52ED065C-8B76-4BD3-8E63-610494E55E0E}"/>
    <cellStyle name="20% - Accent6 8 2 2" xfId="10003" xr:uid="{F02EB377-8EEE-49F6-8E6C-C62C5ECF932B}"/>
    <cellStyle name="20% - Accent6 8 3" xfId="7858" xr:uid="{DC7F5707-5225-4A91-ADF3-3B260EB7143C}"/>
    <cellStyle name="20% - Accent6 9" xfId="3969" xr:uid="{3597C74F-744B-4CF5-9DD8-30C2C109C582}"/>
    <cellStyle name="20% - Accent6 9 2" xfId="8271" xr:uid="{EF8E3BD3-5D8E-4723-9667-53DA7C750302}"/>
    <cellStyle name="40% - Accent1" xfId="49" builtinId="31" customBuiltin="1"/>
    <cellStyle name="40% - Accent1 10" xfId="6213" xr:uid="{B5F787D4-FDA7-4DDA-BB5B-A234B6F82C15}"/>
    <cellStyle name="40% - Accent1 11" xfId="1909" xr:uid="{B828C9A5-944F-4EBA-88F5-4A98CF4EC97B}"/>
    <cellStyle name="40% - Accent1 12" xfId="1080" xr:uid="{48717B6C-459C-4084-93AA-3520B78F569F}"/>
    <cellStyle name="40% - Accent1 13" xfId="10446" xr:uid="{37DC0483-55D9-4E5E-8DD0-4F336AA64592}"/>
    <cellStyle name="40% - Accent1 2" xfId="50" xr:uid="{00000000-0005-0000-0000-000061000000}"/>
    <cellStyle name="40% - Accent1 2 10" xfId="1910" xr:uid="{71F56BB2-9AE5-44D5-8949-523DDAEBEABA}"/>
    <cellStyle name="40% - Accent1 2 11" xfId="1081" xr:uid="{F5EE85B5-44AF-462E-B34A-1D8142EADCE5}"/>
    <cellStyle name="40% - Accent1 2 12" xfId="10447" xr:uid="{78242618-18AC-4CDE-91C8-159A6280B40D}"/>
    <cellStyle name="40% - Accent1 2 2" xfId="51" xr:uid="{00000000-0005-0000-0000-000062000000}"/>
    <cellStyle name="40% - Accent1 2 2 10" xfId="1082" xr:uid="{0AF20C7C-4BED-45AB-BAE8-9218C478A1D2}"/>
    <cellStyle name="40% - Accent1 2 2 11" xfId="10448" xr:uid="{796D4DEC-9AD1-4852-A4AD-404E72C542BC}"/>
    <cellStyle name="40% - Accent1 2 2 2" xfId="52" xr:uid="{00000000-0005-0000-0000-000063000000}"/>
    <cellStyle name="40% - Accent1 2 2 2 10" xfId="10449" xr:uid="{DD52EAFE-79AB-42F5-81C9-0FFD8FD17FA0}"/>
    <cellStyle name="40% - Accent1 2 2 2 2" xfId="629" xr:uid="{00000000-0005-0000-0000-000064000000}"/>
    <cellStyle name="40% - Accent1 2 2 2 2 2" xfId="4557" xr:uid="{56AC886F-4962-4704-A3B1-34E2986E6408}"/>
    <cellStyle name="40% - Accent1 2 2 2 2 2 2" xfId="8775" xr:uid="{839B0217-7CF8-4F80-B6A6-58B9809F1FE8}"/>
    <cellStyle name="40% - Accent1 2 2 2 2 3" xfId="6630" xr:uid="{D45457CC-3441-4D6E-862C-D1BCB57E71BB}"/>
    <cellStyle name="40% - Accent1 2 2 2 2 4" xfId="2326" xr:uid="{98819474-4C64-4647-A4B9-009CDBC58740}"/>
    <cellStyle name="40% - Accent1 2 2 2 2 5" xfId="1499" xr:uid="{6DFFF282-0E01-45C3-8B4C-C3807F3F9C58}"/>
    <cellStyle name="40% - Accent1 2 2 2 2 6" xfId="10865" xr:uid="{7DBE1D58-B126-4C90-9206-1E799786E6B5}"/>
    <cellStyle name="40% - Accent1 2 2 2 3" xfId="2741" xr:uid="{7695A4BF-77EE-4461-908D-EA205B59335A}"/>
    <cellStyle name="40% - Accent1 2 2 2 3 2" xfId="4970" xr:uid="{26E74690-5EC5-4606-8C6A-4241E0F42AE5}"/>
    <cellStyle name="40% - Accent1 2 2 2 3 2 2" xfId="9188" xr:uid="{5C001212-4EFB-498D-882F-C566F3B64B64}"/>
    <cellStyle name="40% - Accent1 2 2 2 3 3" xfId="7043" xr:uid="{31541350-9125-4788-BE22-95572D43E376}"/>
    <cellStyle name="40% - Accent1 2 2 2 4" xfId="3154" xr:uid="{16CF3F29-E5A0-487D-940A-FDF161E8F3C7}"/>
    <cellStyle name="40% - Accent1 2 2 2 4 2" xfId="5383" xr:uid="{D78592CD-9D11-477A-94FD-9D309D9C4199}"/>
    <cellStyle name="40% - Accent1 2 2 2 4 2 2" xfId="9601" xr:uid="{F21A6835-4759-4A18-A1A6-5A46A5405819}"/>
    <cellStyle name="40% - Accent1 2 2 2 4 3" xfId="7456" xr:uid="{9A20E09F-8670-4AE0-B2AD-8C67C8D95FB7}"/>
    <cellStyle name="40% - Accent1 2 2 2 5" xfId="3567" xr:uid="{8499B941-5ADA-4A2D-AB18-6EE4FD03C4E4}"/>
    <cellStyle name="40% - Accent1 2 2 2 5 2" xfId="5796" xr:uid="{161F7F4A-6DE1-4160-ACF3-15D9FDE4671A}"/>
    <cellStyle name="40% - Accent1 2 2 2 5 2 2" xfId="10014" xr:uid="{55C969D5-4643-4EAC-937A-0E5C4D71A814}"/>
    <cellStyle name="40% - Accent1 2 2 2 5 3" xfId="7869" xr:uid="{357BF3F8-DE77-43EA-B200-F8CCB0A39E6F}"/>
    <cellStyle name="40% - Accent1 2 2 2 6" xfId="3980" xr:uid="{CC906158-AC9B-4EDD-B118-7486582753B3}"/>
    <cellStyle name="40% - Accent1 2 2 2 6 2" xfId="8282" xr:uid="{C85ADA40-37FC-4886-AFA7-C220F65257C5}"/>
    <cellStyle name="40% - Accent1 2 2 2 7" xfId="6216" xr:uid="{FC8837C6-D28E-46C3-A060-18BC19BD4179}"/>
    <cellStyle name="40% - Accent1 2 2 2 8" xfId="1912" xr:uid="{987FAF2B-2251-4280-B0CD-4F9BCDFD8DDC}"/>
    <cellStyle name="40% - Accent1 2 2 2 9" xfId="1083" xr:uid="{E4EC2AF5-6149-4A6D-BF4C-DDD59D5BA0F1}"/>
    <cellStyle name="40% - Accent1 2 2 3" xfId="628" xr:uid="{00000000-0005-0000-0000-000065000000}"/>
    <cellStyle name="40% - Accent1 2 2 3 2" xfId="4556" xr:uid="{6F69A8C4-47BA-4CBB-A206-AA2DCFB278DF}"/>
    <cellStyle name="40% - Accent1 2 2 3 2 2" xfId="8774" xr:uid="{211AA566-6A48-4EE7-96B9-37ECA3747B32}"/>
    <cellStyle name="40% - Accent1 2 2 3 3" xfId="6629" xr:uid="{823F393A-7346-4293-9030-C24645805CF2}"/>
    <cellStyle name="40% - Accent1 2 2 3 4" xfId="2325" xr:uid="{EED79BB6-223A-479B-BACA-08D022584741}"/>
    <cellStyle name="40% - Accent1 2 2 3 5" xfId="1498" xr:uid="{D9BF18AF-758A-40C9-BE76-83C09CED4E42}"/>
    <cellStyle name="40% - Accent1 2 2 3 6" xfId="10864" xr:uid="{C9EC75EB-E3C5-4CB0-911A-B75C5F44B444}"/>
    <cellStyle name="40% - Accent1 2 2 4" xfId="2740" xr:uid="{E4E7DC17-B699-4D29-BAAF-E942F96CCF44}"/>
    <cellStyle name="40% - Accent1 2 2 4 2" xfId="4969" xr:uid="{D5516025-AB7F-4196-ABA0-642F79AD57DC}"/>
    <cellStyle name="40% - Accent1 2 2 4 2 2" xfId="9187" xr:uid="{6EE982FA-B5D1-422F-9CF3-B4C38AEC96B2}"/>
    <cellStyle name="40% - Accent1 2 2 4 3" xfId="7042" xr:uid="{C4339F93-1222-4F57-B2BB-04F7F9851ACE}"/>
    <cellStyle name="40% - Accent1 2 2 5" xfId="3153" xr:uid="{893901FE-6FBC-423E-AB41-78AD6B12B2D9}"/>
    <cellStyle name="40% - Accent1 2 2 5 2" xfId="5382" xr:uid="{59D968DF-017C-4B3C-9507-5011259FB236}"/>
    <cellStyle name="40% - Accent1 2 2 5 2 2" xfId="9600" xr:uid="{7CFABF25-0715-4403-9876-4089B4ACEABB}"/>
    <cellStyle name="40% - Accent1 2 2 5 3" xfId="7455" xr:uid="{2FDDE6D1-B41B-40F0-951E-E0B249283B53}"/>
    <cellStyle name="40% - Accent1 2 2 6" xfId="3566" xr:uid="{D6CCF4F6-DF4F-46E8-AB9F-5E3FA2889E93}"/>
    <cellStyle name="40% - Accent1 2 2 6 2" xfId="5795" xr:uid="{425DEEEA-FE68-441D-BC2B-2ABCD86E4001}"/>
    <cellStyle name="40% - Accent1 2 2 6 2 2" xfId="10013" xr:uid="{0EE2900E-7E09-4070-A5E1-89BA6ACA1338}"/>
    <cellStyle name="40% - Accent1 2 2 6 3" xfId="7868" xr:uid="{094EEAEF-3B14-453E-9EFB-C8424DBA8AE3}"/>
    <cellStyle name="40% - Accent1 2 2 7" xfId="3979" xr:uid="{BAA72F89-0D5B-4A8F-A098-46AA7856154D}"/>
    <cellStyle name="40% - Accent1 2 2 7 2" xfId="8281" xr:uid="{86754F3E-45A8-497B-A1A0-C30AFE0E5344}"/>
    <cellStyle name="40% - Accent1 2 2 8" xfId="6215" xr:uid="{9D86D24E-6D20-4D3E-B0D5-0D1C6EC1B76D}"/>
    <cellStyle name="40% - Accent1 2 2 9" xfId="1911" xr:uid="{1B7F41CE-A65B-4598-A557-178A6D61EB8D}"/>
    <cellStyle name="40% - Accent1 2 3" xfId="53" xr:uid="{00000000-0005-0000-0000-000066000000}"/>
    <cellStyle name="40% - Accent1 2 3 10" xfId="10450" xr:uid="{67F0F6FD-4246-40EE-BEC7-8E20C7A50817}"/>
    <cellStyle name="40% - Accent1 2 3 2" xfId="630" xr:uid="{00000000-0005-0000-0000-000067000000}"/>
    <cellStyle name="40% - Accent1 2 3 2 2" xfId="4558" xr:uid="{F96E1226-0F16-4F18-A14B-91FC6C6098AA}"/>
    <cellStyle name="40% - Accent1 2 3 2 2 2" xfId="8776" xr:uid="{D30AB944-15E3-4835-B2EA-AD78F8B2E9F7}"/>
    <cellStyle name="40% - Accent1 2 3 2 3" xfId="6631" xr:uid="{B565FB0E-56B7-4661-936B-0206AAFAB130}"/>
    <cellStyle name="40% - Accent1 2 3 2 4" xfId="2327" xr:uid="{69F916DC-011F-4520-9007-37A073495E24}"/>
    <cellStyle name="40% - Accent1 2 3 2 5" xfId="1500" xr:uid="{BCE966AA-AD3D-4B4E-A9E2-4D1ED1361569}"/>
    <cellStyle name="40% - Accent1 2 3 2 6" xfId="10866" xr:uid="{2BF8600D-D4DF-4B86-9587-A71226A307F7}"/>
    <cellStyle name="40% - Accent1 2 3 3" xfId="2742" xr:uid="{C8C1774C-0C59-47CA-9E1C-185B4750D5A6}"/>
    <cellStyle name="40% - Accent1 2 3 3 2" xfId="4971" xr:uid="{60BB1036-9AFA-4EA7-8C6E-1CDD9E7856AB}"/>
    <cellStyle name="40% - Accent1 2 3 3 2 2" xfId="9189" xr:uid="{E85D050B-1C4C-458F-B010-5F1014FA176F}"/>
    <cellStyle name="40% - Accent1 2 3 3 3" xfId="7044" xr:uid="{000D7CF6-A354-459B-BA55-E963C52C0DC6}"/>
    <cellStyle name="40% - Accent1 2 3 4" xfId="3155" xr:uid="{D203608B-CA21-435C-B012-F7ADE83D6819}"/>
    <cellStyle name="40% - Accent1 2 3 4 2" xfId="5384" xr:uid="{2F9F947C-590B-4003-92A7-52FC699036CC}"/>
    <cellStyle name="40% - Accent1 2 3 4 2 2" xfId="9602" xr:uid="{4F1BDB1F-A0F1-4E46-BF0A-57BAF099E2B1}"/>
    <cellStyle name="40% - Accent1 2 3 4 3" xfId="7457" xr:uid="{B52F8DE2-3033-4CD9-8F73-90B4BE8418E6}"/>
    <cellStyle name="40% - Accent1 2 3 5" xfId="3568" xr:uid="{A589369A-87DE-4CC9-B573-3D1E5DD59673}"/>
    <cellStyle name="40% - Accent1 2 3 5 2" xfId="5797" xr:uid="{2DD1AE77-23DB-41ED-95B2-D9EE7518358F}"/>
    <cellStyle name="40% - Accent1 2 3 5 2 2" xfId="10015" xr:uid="{9C77D7BD-BE73-43F7-8172-EA8B5677BB10}"/>
    <cellStyle name="40% - Accent1 2 3 5 3" xfId="7870" xr:uid="{06A79037-DC14-4F9D-935E-10C9A6D30B55}"/>
    <cellStyle name="40% - Accent1 2 3 6" xfId="3981" xr:uid="{73C00550-F30F-4D7A-80D5-896FC1590FC4}"/>
    <cellStyle name="40% - Accent1 2 3 6 2" xfId="8283" xr:uid="{C38D9DD2-A385-42AD-8208-99AB0D20CEB7}"/>
    <cellStyle name="40% - Accent1 2 3 7" xfId="6217" xr:uid="{8351930A-EE64-4143-895E-5DFC7C398987}"/>
    <cellStyle name="40% - Accent1 2 3 8" xfId="1913" xr:uid="{257CF6ED-EEBE-4C5A-937F-3890738DD3CE}"/>
    <cellStyle name="40% - Accent1 2 3 9" xfId="1084" xr:uid="{82FD1BD4-C15B-48DE-9A17-8DE90BC28F6C}"/>
    <cellStyle name="40% - Accent1 2 4" xfId="627" xr:uid="{00000000-0005-0000-0000-000068000000}"/>
    <cellStyle name="40% - Accent1 2 4 2" xfId="4555" xr:uid="{D606D744-277E-4903-868B-4DFC3962BE05}"/>
    <cellStyle name="40% - Accent1 2 4 2 2" xfId="8773" xr:uid="{4FF73034-B437-440A-AA97-CC7D87432ED6}"/>
    <cellStyle name="40% - Accent1 2 4 3" xfId="6628" xr:uid="{3AF41112-412D-4B9E-9CB2-0DD64C314A7A}"/>
    <cellStyle name="40% - Accent1 2 4 4" xfId="2324" xr:uid="{AFF1A467-FF52-403E-A63D-7F70DBCE7664}"/>
    <cellStyle name="40% - Accent1 2 4 5" xfId="1497" xr:uid="{6401670A-B098-46E5-86F2-7CB85A734703}"/>
    <cellStyle name="40% - Accent1 2 4 6" xfId="10863" xr:uid="{C145DA30-8209-4D5F-80AC-5062AFDCACAD}"/>
    <cellStyle name="40% - Accent1 2 5" xfId="2739" xr:uid="{C4AAB92B-83B7-43BE-8AAB-3F6A524CCE05}"/>
    <cellStyle name="40% - Accent1 2 5 2" xfId="4968" xr:uid="{494CC523-EFB8-4895-85FA-1A69BBCB5C95}"/>
    <cellStyle name="40% - Accent1 2 5 2 2" xfId="9186" xr:uid="{3BE0061F-6193-4DFF-91F9-AFFB48325EA7}"/>
    <cellStyle name="40% - Accent1 2 5 3" xfId="7041" xr:uid="{1B4486B2-D0C5-4BA2-8D91-FE9029759532}"/>
    <cellStyle name="40% - Accent1 2 6" xfId="3152" xr:uid="{076EC663-B1F9-42F3-89B4-EEEFB37D4E2B}"/>
    <cellStyle name="40% - Accent1 2 6 2" xfId="5381" xr:uid="{C6AC30A1-20DA-44B5-A8BE-978C20305D57}"/>
    <cellStyle name="40% - Accent1 2 6 2 2" xfId="9599" xr:uid="{BF07E68E-A797-4DBC-957C-D941EDEC499C}"/>
    <cellStyle name="40% - Accent1 2 6 3" xfId="7454" xr:uid="{F6EBBC30-A7BC-4EC8-A555-36EC873A443E}"/>
    <cellStyle name="40% - Accent1 2 7" xfId="3565" xr:uid="{88B47AF2-9999-42C3-B680-783B9F15F0E4}"/>
    <cellStyle name="40% - Accent1 2 7 2" xfId="5794" xr:uid="{CF245DCD-F594-48C5-AEFF-7B63CACE43AC}"/>
    <cellStyle name="40% - Accent1 2 7 2 2" xfId="10012" xr:uid="{1C547E25-D3EC-488D-9AF3-396BA0F460E0}"/>
    <cellStyle name="40% - Accent1 2 7 3" xfId="7867" xr:uid="{61CA2FED-98BB-4C2F-89B7-2D3B701B8F67}"/>
    <cellStyle name="40% - Accent1 2 8" xfId="3978" xr:uid="{47201E9E-69CD-42F9-BB90-DD0EE40ECFCA}"/>
    <cellStyle name="40% - Accent1 2 8 2" xfId="8280" xr:uid="{12869C50-EA95-4F98-AC9F-B497627CED06}"/>
    <cellStyle name="40% - Accent1 2 9" xfId="6214" xr:uid="{894837FA-1CD2-41DE-8D33-F1537953B780}"/>
    <cellStyle name="40% - Accent1 3" xfId="54" xr:uid="{00000000-0005-0000-0000-000069000000}"/>
    <cellStyle name="40% - Accent1 3 10" xfId="1085" xr:uid="{EF2B8194-CEDC-4FC9-9479-2FFA8569DF63}"/>
    <cellStyle name="40% - Accent1 3 11" xfId="10451" xr:uid="{E2B80B61-1BA1-4684-AE03-2941E5BF488F}"/>
    <cellStyle name="40% - Accent1 3 2" xfId="55" xr:uid="{00000000-0005-0000-0000-00006A000000}"/>
    <cellStyle name="40% - Accent1 3 2 10" xfId="10452" xr:uid="{60D4B700-43BD-4FA5-9CDA-359C5351F405}"/>
    <cellStyle name="40% - Accent1 3 2 2" xfId="632" xr:uid="{00000000-0005-0000-0000-00006B000000}"/>
    <cellStyle name="40% - Accent1 3 2 2 2" xfId="4560" xr:uid="{69BC594D-188C-418F-8AE3-03CA8AF1A10A}"/>
    <cellStyle name="40% - Accent1 3 2 2 2 2" xfId="8778" xr:uid="{D1DD1637-EF40-44A1-B2D3-EAABDF94899A}"/>
    <cellStyle name="40% - Accent1 3 2 2 3" xfId="6633" xr:uid="{92E623B9-B43F-4841-A8D2-5573C19B8305}"/>
    <cellStyle name="40% - Accent1 3 2 2 4" xfId="2329" xr:uid="{22DA007E-18C6-42DF-9D53-98380EB5EF09}"/>
    <cellStyle name="40% - Accent1 3 2 2 5" xfId="1502" xr:uid="{04964503-A135-4DF5-A7FE-3D22A308FABB}"/>
    <cellStyle name="40% - Accent1 3 2 2 6" xfId="10868" xr:uid="{BE68F727-DAF2-4797-B254-A5570168FB65}"/>
    <cellStyle name="40% - Accent1 3 2 3" xfId="2744" xr:uid="{E9E80864-B03A-4012-A835-FD6210766082}"/>
    <cellStyle name="40% - Accent1 3 2 3 2" xfId="4973" xr:uid="{6FA4139D-E5DD-45ED-9EDC-916D3A768B80}"/>
    <cellStyle name="40% - Accent1 3 2 3 2 2" xfId="9191" xr:uid="{485912BC-27F8-44AD-AABB-33FE76389FDE}"/>
    <cellStyle name="40% - Accent1 3 2 3 3" xfId="7046" xr:uid="{A497B4C6-041F-4C97-94D7-946727BF82C3}"/>
    <cellStyle name="40% - Accent1 3 2 4" xfId="3157" xr:uid="{C7DF4210-BFBB-447B-88FD-C494D247D45C}"/>
    <cellStyle name="40% - Accent1 3 2 4 2" xfId="5386" xr:uid="{568F5AE9-DDC5-4C9C-A07C-E875EB8AAF41}"/>
    <cellStyle name="40% - Accent1 3 2 4 2 2" xfId="9604" xr:uid="{DB3AD6CD-67CD-4458-B390-5BCD41E588BC}"/>
    <cellStyle name="40% - Accent1 3 2 4 3" xfId="7459" xr:uid="{C0A67577-4E0F-418B-9871-4852CC55AC74}"/>
    <cellStyle name="40% - Accent1 3 2 5" xfId="3570" xr:uid="{9C7E7390-5F59-49AB-945F-78E70EE0253E}"/>
    <cellStyle name="40% - Accent1 3 2 5 2" xfId="5799" xr:uid="{7FE08E6C-EE97-465E-840A-5ABB4D504BC0}"/>
    <cellStyle name="40% - Accent1 3 2 5 2 2" xfId="10017" xr:uid="{1BE43094-B8FD-4552-AE31-F2115996AE77}"/>
    <cellStyle name="40% - Accent1 3 2 5 3" xfId="7872" xr:uid="{AFA97A23-568D-4F59-8441-590284D79DFB}"/>
    <cellStyle name="40% - Accent1 3 2 6" xfId="3983" xr:uid="{F21F187E-07AE-45B9-95AD-24EC129001D7}"/>
    <cellStyle name="40% - Accent1 3 2 6 2" xfId="8285" xr:uid="{CF768D00-CF32-4089-A58B-DD4224C79E67}"/>
    <cellStyle name="40% - Accent1 3 2 7" xfId="6219" xr:uid="{06D4B92A-22A5-48B0-8A71-BAD192FD9053}"/>
    <cellStyle name="40% - Accent1 3 2 8" xfId="1915" xr:uid="{5F0FB863-AF30-4513-A267-6A1B0CE52B31}"/>
    <cellStyle name="40% - Accent1 3 2 9" xfId="1086" xr:uid="{9F42123B-19D0-4D53-A6DF-DBAD3C1B93EF}"/>
    <cellStyle name="40% - Accent1 3 3" xfId="631" xr:uid="{00000000-0005-0000-0000-00006C000000}"/>
    <cellStyle name="40% - Accent1 3 3 2" xfId="4559" xr:uid="{8F87673A-FA3D-4C15-A13D-4018302B3B89}"/>
    <cellStyle name="40% - Accent1 3 3 2 2" xfId="8777" xr:uid="{F4B0C50D-3D7A-42E0-A7B6-6A4DA75F7070}"/>
    <cellStyle name="40% - Accent1 3 3 3" xfId="6632" xr:uid="{5541E425-683B-4804-B341-33ABA3928104}"/>
    <cellStyle name="40% - Accent1 3 3 4" xfId="2328" xr:uid="{F467B211-B367-41D0-AA72-C6C8F3CA1C42}"/>
    <cellStyle name="40% - Accent1 3 3 5" xfId="1501" xr:uid="{61A7854A-4015-4625-80D2-D6514EBFEC52}"/>
    <cellStyle name="40% - Accent1 3 3 6" xfId="10867" xr:uid="{9EAB5A4C-6728-4B6F-80A0-2AD57FE8A8A0}"/>
    <cellStyle name="40% - Accent1 3 4" xfId="2743" xr:uid="{0DECE07A-607E-410B-B6BF-95823E025779}"/>
    <cellStyle name="40% - Accent1 3 4 2" xfId="4972" xr:uid="{FE217034-58B8-4D65-A18E-C7AFCA3A35A4}"/>
    <cellStyle name="40% - Accent1 3 4 2 2" xfId="9190" xr:uid="{00981D75-E352-4AA5-A658-09A1933A922A}"/>
    <cellStyle name="40% - Accent1 3 4 3" xfId="7045" xr:uid="{BA5F728C-954A-45A9-885C-555BCFE31AB0}"/>
    <cellStyle name="40% - Accent1 3 5" xfId="3156" xr:uid="{FD821021-019F-4862-9FD3-4CD9DB4A68F5}"/>
    <cellStyle name="40% - Accent1 3 5 2" xfId="5385" xr:uid="{F87C6B89-33AE-4687-9C42-3CF09EFDDC06}"/>
    <cellStyle name="40% - Accent1 3 5 2 2" xfId="9603" xr:uid="{E0E887C6-FDEE-438D-9061-014E620C7953}"/>
    <cellStyle name="40% - Accent1 3 5 3" xfId="7458" xr:uid="{3B8BC6D9-691B-4D60-88A0-770F312B4DFA}"/>
    <cellStyle name="40% - Accent1 3 6" xfId="3569" xr:uid="{CB85EE24-24B6-41CD-B9DE-20AF07B65FC5}"/>
    <cellStyle name="40% - Accent1 3 6 2" xfId="5798" xr:uid="{A3E35521-6519-4750-9A1F-9F343672965A}"/>
    <cellStyle name="40% - Accent1 3 6 2 2" xfId="10016" xr:uid="{89EBA864-5AAB-4072-AEE7-46FDEB776A47}"/>
    <cellStyle name="40% - Accent1 3 6 3" xfId="7871" xr:uid="{1E21D8A9-3A8B-44F0-B3CC-131BF619A618}"/>
    <cellStyle name="40% - Accent1 3 7" xfId="3982" xr:uid="{CB09B8F8-EE8E-48CE-A686-1C6CBB5C5F22}"/>
    <cellStyle name="40% - Accent1 3 7 2" xfId="8284" xr:uid="{EDB0EF93-F163-4C19-B1C4-842CD282F9F0}"/>
    <cellStyle name="40% - Accent1 3 8" xfId="6218" xr:uid="{5E9C2752-65D1-457C-84BE-5349625FFA41}"/>
    <cellStyle name="40% - Accent1 3 9" xfId="1914" xr:uid="{C06E519B-06D3-4741-BF05-95927FF802E6}"/>
    <cellStyle name="40% - Accent1 4" xfId="56" xr:uid="{00000000-0005-0000-0000-00006D000000}"/>
    <cellStyle name="40% - Accent1 4 10" xfId="10453" xr:uid="{DFAA8A7D-7E86-4510-9697-104B71E042AA}"/>
    <cellStyle name="40% - Accent1 4 2" xfId="633" xr:uid="{00000000-0005-0000-0000-00006E000000}"/>
    <cellStyle name="40% - Accent1 4 2 2" xfId="4561" xr:uid="{6771976E-8403-4350-9FFA-AADEE85A9606}"/>
    <cellStyle name="40% - Accent1 4 2 2 2" xfId="8779" xr:uid="{30F2D5A3-7EC1-4954-B2E8-EFD419B1C32C}"/>
    <cellStyle name="40% - Accent1 4 2 3" xfId="6634" xr:uid="{5AACCCB7-2803-46D4-A3EE-14BB2A928348}"/>
    <cellStyle name="40% - Accent1 4 2 4" xfId="2330" xr:uid="{D9481F19-FD70-4579-AD36-ECF029E36A88}"/>
    <cellStyle name="40% - Accent1 4 2 5" xfId="1503" xr:uid="{CDAEC6FF-3C71-4170-94A3-157BB2C32AA3}"/>
    <cellStyle name="40% - Accent1 4 2 6" xfId="10869" xr:uid="{30C22F96-624F-4010-B336-434ADDE9D264}"/>
    <cellStyle name="40% - Accent1 4 3" xfId="2745" xr:uid="{F14F3533-512F-47BD-A7DF-FC5E3640AD1F}"/>
    <cellStyle name="40% - Accent1 4 3 2" xfId="4974" xr:uid="{A743308C-9EBC-46A5-830E-AC2D98C1CA3B}"/>
    <cellStyle name="40% - Accent1 4 3 2 2" xfId="9192" xr:uid="{1BC7B6CE-D99F-408D-B31E-433A8916F839}"/>
    <cellStyle name="40% - Accent1 4 3 3" xfId="7047" xr:uid="{38B9FE00-B619-44A7-8253-8E0C2A4CD806}"/>
    <cellStyle name="40% - Accent1 4 4" xfId="3158" xr:uid="{AA35EA47-2B6B-4E90-87C2-CFD7335C6CDB}"/>
    <cellStyle name="40% - Accent1 4 4 2" xfId="5387" xr:uid="{C508576D-939E-4258-AFD8-579134BFB29B}"/>
    <cellStyle name="40% - Accent1 4 4 2 2" xfId="9605" xr:uid="{5D885E75-4990-42FA-A3F9-B8C60DB6BB6D}"/>
    <cellStyle name="40% - Accent1 4 4 3" xfId="7460" xr:uid="{B3B9BC76-743F-4BF5-92C4-250EE2BF13BC}"/>
    <cellStyle name="40% - Accent1 4 5" xfId="3571" xr:uid="{4372601A-CBD6-4F47-A46E-766620E95AD3}"/>
    <cellStyle name="40% - Accent1 4 5 2" xfId="5800" xr:uid="{584D2E86-F5FD-440B-97B8-AFD2619FC4E5}"/>
    <cellStyle name="40% - Accent1 4 5 2 2" xfId="10018" xr:uid="{F3B2CE10-B19D-4010-B1CB-462173D84B85}"/>
    <cellStyle name="40% - Accent1 4 5 3" xfId="7873" xr:uid="{7A476045-23D1-47B6-8A23-8664B5F49362}"/>
    <cellStyle name="40% - Accent1 4 6" xfId="3984" xr:uid="{59064EDF-8572-4818-BC00-17B66BBEBF88}"/>
    <cellStyle name="40% - Accent1 4 6 2" xfId="8286" xr:uid="{BE0C7579-D8C0-42E6-BA5A-635ECC4CEFD7}"/>
    <cellStyle name="40% - Accent1 4 7" xfId="6220" xr:uid="{6E388930-927A-461F-A2D2-99737629499F}"/>
    <cellStyle name="40% - Accent1 4 8" xfId="1916" xr:uid="{6636B351-F948-4796-A901-6C11833FA773}"/>
    <cellStyle name="40% - Accent1 4 9" xfId="1087" xr:uid="{D1D2B8B1-6F28-4B69-8D80-DDA9DCFFD598}"/>
    <cellStyle name="40% - Accent1 5" xfId="626" xr:uid="{00000000-0005-0000-0000-00006F000000}"/>
    <cellStyle name="40% - Accent1 5 2" xfId="4554" xr:uid="{012CCC62-0E81-40B4-95AF-7DBF75A1CC85}"/>
    <cellStyle name="40% - Accent1 5 2 2" xfId="8772" xr:uid="{1BB1DDE3-1D99-4E8D-B085-1F6F97DEF27C}"/>
    <cellStyle name="40% - Accent1 5 3" xfId="6627" xr:uid="{BF40143A-5E4C-4DE0-9FDF-CD3A40A2C81D}"/>
    <cellStyle name="40% - Accent1 5 4" xfId="2323" xr:uid="{B67AFBDD-686A-4623-B9F6-8744060BE3FB}"/>
    <cellStyle name="40% - Accent1 5 5" xfId="1496" xr:uid="{569D39F8-8E57-43C4-9819-FDD45F01F59C}"/>
    <cellStyle name="40% - Accent1 5 6" xfId="10862" xr:uid="{8688F94D-9FFF-4B69-AA6D-A1D8E5510EDF}"/>
    <cellStyle name="40% - Accent1 6" xfId="2738" xr:uid="{8C0C13B0-7535-4120-A4D9-DB5660E92EA2}"/>
    <cellStyle name="40% - Accent1 6 2" xfId="4967" xr:uid="{0CFED850-EF53-4FCF-9344-A03AEF57E808}"/>
    <cellStyle name="40% - Accent1 6 2 2" xfId="9185" xr:uid="{0ECBD9FC-8372-46C8-974A-B871814705A3}"/>
    <cellStyle name="40% - Accent1 6 3" xfId="7040" xr:uid="{E02C4A02-0D96-4CFF-BBEF-37389428645C}"/>
    <cellStyle name="40% - Accent1 7" xfId="3151" xr:uid="{7745E9BC-1DAF-4A0C-94E6-215EA1DB4347}"/>
    <cellStyle name="40% - Accent1 7 2" xfId="5380" xr:uid="{A4183E87-E9C4-4773-B296-4DE259C424B8}"/>
    <cellStyle name="40% - Accent1 7 2 2" xfId="9598" xr:uid="{4237C9B5-76B3-41C1-B5F4-26F039F4A97D}"/>
    <cellStyle name="40% - Accent1 7 3" xfId="7453" xr:uid="{ACCF4186-531B-4BCC-91A0-B379CC51309E}"/>
    <cellStyle name="40% - Accent1 8" xfId="3564" xr:uid="{1DE24C7F-2D20-4A80-94B0-68BB4B14CD82}"/>
    <cellStyle name="40% - Accent1 8 2" xfId="5793" xr:uid="{E6A97158-B0C1-41F1-8C40-C17CFDAA57CA}"/>
    <cellStyle name="40% - Accent1 8 2 2" xfId="10011" xr:uid="{A179CA33-D38C-4F52-B55B-75040EFF57E0}"/>
    <cellStyle name="40% - Accent1 8 3" xfId="7866" xr:uid="{3717A11C-6809-4173-B7E8-3B7669732C9B}"/>
    <cellStyle name="40% - Accent1 9" xfId="3977" xr:uid="{1E7077C8-0871-460D-9154-9265B2878DA8}"/>
    <cellStyle name="40% - Accent1 9 2" xfId="8279" xr:uid="{B6959754-B527-467D-92C8-3BCAB14EF82C}"/>
    <cellStyle name="40% - Accent2" xfId="57" builtinId="35" customBuiltin="1"/>
    <cellStyle name="40% - Accent2 10" xfId="6221" xr:uid="{65D75017-2A3D-4C9E-AAD3-6B0E4B5BEF40}"/>
    <cellStyle name="40% - Accent2 11" xfId="1917" xr:uid="{BD74CA1D-3B53-4908-84A8-360BC21CA8BF}"/>
    <cellStyle name="40% - Accent2 12" xfId="1088" xr:uid="{98FCBB4A-082F-43F3-9817-64D7ADBD0E4D}"/>
    <cellStyle name="40% - Accent2 13" xfId="10454" xr:uid="{E2725270-1591-49B4-873D-68FF8E02E616}"/>
    <cellStyle name="40% - Accent2 2" xfId="58" xr:uid="{00000000-0005-0000-0000-000071000000}"/>
    <cellStyle name="40% - Accent2 2 10" xfId="1918" xr:uid="{A28BE7E9-DEE3-4D85-B6F5-64737A84427B}"/>
    <cellStyle name="40% - Accent2 2 11" xfId="1089" xr:uid="{91E61B51-0F21-42D8-874B-8AFAF56B8C48}"/>
    <cellStyle name="40% - Accent2 2 12" xfId="10455" xr:uid="{617A4264-04F6-4A54-B367-5526503FEFCF}"/>
    <cellStyle name="40% - Accent2 2 2" xfId="59" xr:uid="{00000000-0005-0000-0000-000072000000}"/>
    <cellStyle name="40% - Accent2 2 2 10" xfId="1090" xr:uid="{89E8F24E-9ADA-4C61-A11B-DDA8A7A13557}"/>
    <cellStyle name="40% - Accent2 2 2 11" xfId="10456" xr:uid="{E030135E-7AF6-419B-9A8E-8702AEFCD17B}"/>
    <cellStyle name="40% - Accent2 2 2 2" xfId="60" xr:uid="{00000000-0005-0000-0000-000073000000}"/>
    <cellStyle name="40% - Accent2 2 2 2 10" xfId="10457" xr:uid="{69ED528A-1DC5-4E5C-BB5C-1A6B94AD66D3}"/>
    <cellStyle name="40% - Accent2 2 2 2 2" xfId="637" xr:uid="{00000000-0005-0000-0000-000074000000}"/>
    <cellStyle name="40% - Accent2 2 2 2 2 2" xfId="4565" xr:uid="{F0E815DF-8569-467B-B76A-77939D1E0B25}"/>
    <cellStyle name="40% - Accent2 2 2 2 2 2 2" xfId="8783" xr:uid="{AF4476FB-4FB8-4E15-9B6E-C52DF847853A}"/>
    <cellStyle name="40% - Accent2 2 2 2 2 3" xfId="6638" xr:uid="{EF2EA9D2-4E0E-4A62-8AAE-AC8EF037112D}"/>
    <cellStyle name="40% - Accent2 2 2 2 2 4" xfId="2334" xr:uid="{DFF8053B-42E6-4B52-8E43-0DB023E4326B}"/>
    <cellStyle name="40% - Accent2 2 2 2 2 5" xfId="1507" xr:uid="{6B07FBF3-B6A9-4D2B-9060-057E76050712}"/>
    <cellStyle name="40% - Accent2 2 2 2 2 6" xfId="10873" xr:uid="{C5568985-C250-42A1-B1F1-4D498CACF1CC}"/>
    <cellStyle name="40% - Accent2 2 2 2 3" xfId="2749" xr:uid="{CCCCAAD1-3742-40BF-8D68-407B76A81360}"/>
    <cellStyle name="40% - Accent2 2 2 2 3 2" xfId="4978" xr:uid="{4D899AB7-2FA8-4F61-AC0F-5201FABB9453}"/>
    <cellStyle name="40% - Accent2 2 2 2 3 2 2" xfId="9196" xr:uid="{A22B4FF9-B1A8-43C0-9D11-AC02DE15AC54}"/>
    <cellStyle name="40% - Accent2 2 2 2 3 3" xfId="7051" xr:uid="{4AAFF8D2-D6E0-4704-B7E9-39AE36CC744C}"/>
    <cellStyle name="40% - Accent2 2 2 2 4" xfId="3162" xr:uid="{05823120-4B85-4B87-9111-9FE833DB8269}"/>
    <cellStyle name="40% - Accent2 2 2 2 4 2" xfId="5391" xr:uid="{9DCB94AA-8EC0-4974-967D-3A6F2FD5D20F}"/>
    <cellStyle name="40% - Accent2 2 2 2 4 2 2" xfId="9609" xr:uid="{D5EF972B-2AE8-46D2-AA89-2A0D6CE8BF36}"/>
    <cellStyle name="40% - Accent2 2 2 2 4 3" xfId="7464" xr:uid="{86A23DDB-2129-4D5D-8CBD-3DCCE0D36369}"/>
    <cellStyle name="40% - Accent2 2 2 2 5" xfId="3575" xr:uid="{C3A49E31-0A27-411B-B8AC-27002B3F7868}"/>
    <cellStyle name="40% - Accent2 2 2 2 5 2" xfId="5804" xr:uid="{8CBE1F84-5EA1-4D3D-A6CC-F2A91013B395}"/>
    <cellStyle name="40% - Accent2 2 2 2 5 2 2" xfId="10022" xr:uid="{41139348-C743-4189-80B0-C57776B769B7}"/>
    <cellStyle name="40% - Accent2 2 2 2 5 3" xfId="7877" xr:uid="{1844922D-7388-4584-A8EC-4D4F452A6D42}"/>
    <cellStyle name="40% - Accent2 2 2 2 6" xfId="3988" xr:uid="{42E755E6-78F9-49ED-A0E4-027D8DA52178}"/>
    <cellStyle name="40% - Accent2 2 2 2 6 2" xfId="8290" xr:uid="{307CC50D-E88C-4C32-94D0-C0BD5BF6E79A}"/>
    <cellStyle name="40% - Accent2 2 2 2 7" xfId="6224" xr:uid="{567829CE-5EE6-4EB8-BBFA-CE7C36C7171D}"/>
    <cellStyle name="40% - Accent2 2 2 2 8" xfId="1920" xr:uid="{9EBC1F6D-A9AE-4EAD-B927-EB08DD2C4B88}"/>
    <cellStyle name="40% - Accent2 2 2 2 9" xfId="1091" xr:uid="{86BA095A-6A5B-4D4A-B0E0-4AB5E3659DF2}"/>
    <cellStyle name="40% - Accent2 2 2 3" xfId="636" xr:uid="{00000000-0005-0000-0000-000075000000}"/>
    <cellStyle name="40% - Accent2 2 2 3 2" xfId="4564" xr:uid="{BAB1FB85-0241-4901-93D1-766D7081A686}"/>
    <cellStyle name="40% - Accent2 2 2 3 2 2" xfId="8782" xr:uid="{BA4CD0A7-A1CA-4621-B0CF-C270A6E610A1}"/>
    <cellStyle name="40% - Accent2 2 2 3 3" xfId="6637" xr:uid="{C6222F35-74E5-4968-975C-6F4F51F667D5}"/>
    <cellStyle name="40% - Accent2 2 2 3 4" xfId="2333" xr:uid="{808B7AC7-21F7-4185-AAF0-B684609DF58E}"/>
    <cellStyle name="40% - Accent2 2 2 3 5" xfId="1506" xr:uid="{A3CDEDF7-1698-4631-86DD-6A1A04D399EF}"/>
    <cellStyle name="40% - Accent2 2 2 3 6" xfId="10872" xr:uid="{BDAA4B1D-6961-4215-A6EB-B2C2AA848875}"/>
    <cellStyle name="40% - Accent2 2 2 4" xfId="2748" xr:uid="{31FAB3B0-2DDD-44C9-9EEC-0D02EF3F5BD2}"/>
    <cellStyle name="40% - Accent2 2 2 4 2" xfId="4977" xr:uid="{67B1CF68-1BD1-456F-A931-0AA359D90721}"/>
    <cellStyle name="40% - Accent2 2 2 4 2 2" xfId="9195" xr:uid="{4A8562DC-D20C-4CAD-9555-E5CF2F3B5013}"/>
    <cellStyle name="40% - Accent2 2 2 4 3" xfId="7050" xr:uid="{58C77F88-E533-421A-A9D0-93D3FCA84977}"/>
    <cellStyle name="40% - Accent2 2 2 5" xfId="3161" xr:uid="{6FB0AF7D-91F6-4CB7-A20E-D104DF5B9DD8}"/>
    <cellStyle name="40% - Accent2 2 2 5 2" xfId="5390" xr:uid="{1090B50A-677C-4A14-AA3D-4CF85EBF907B}"/>
    <cellStyle name="40% - Accent2 2 2 5 2 2" xfId="9608" xr:uid="{9A5923FB-AA1F-48EB-B94B-E62E5C02A18B}"/>
    <cellStyle name="40% - Accent2 2 2 5 3" xfId="7463" xr:uid="{9093FCD5-629C-457B-93F0-0686FE9B7FEC}"/>
    <cellStyle name="40% - Accent2 2 2 6" xfId="3574" xr:uid="{241DEBE9-80D7-4D78-837C-A52BBD050E70}"/>
    <cellStyle name="40% - Accent2 2 2 6 2" xfId="5803" xr:uid="{FA78081F-A599-4126-8AE3-198D5711F07A}"/>
    <cellStyle name="40% - Accent2 2 2 6 2 2" xfId="10021" xr:uid="{EB613B1A-303B-4E76-9732-E8DDD7F1F89A}"/>
    <cellStyle name="40% - Accent2 2 2 6 3" xfId="7876" xr:uid="{9E5E2454-0072-4786-BBDC-7FC71BDABB3B}"/>
    <cellStyle name="40% - Accent2 2 2 7" xfId="3987" xr:uid="{A8742778-4240-4009-9DCD-8BA2F563143A}"/>
    <cellStyle name="40% - Accent2 2 2 7 2" xfId="8289" xr:uid="{2C008CEA-4CFC-46AF-80DC-2354A477FE83}"/>
    <cellStyle name="40% - Accent2 2 2 8" xfId="6223" xr:uid="{31EE9DEB-38C0-416D-8BDD-CB9545327932}"/>
    <cellStyle name="40% - Accent2 2 2 9" xfId="1919" xr:uid="{F218C41A-CD83-4873-8F8A-7D3B53C5334B}"/>
    <cellStyle name="40% - Accent2 2 3" xfId="61" xr:uid="{00000000-0005-0000-0000-000076000000}"/>
    <cellStyle name="40% - Accent2 2 3 10" xfId="10458" xr:uid="{39E2943E-83CB-4500-9FAE-221574DECB3D}"/>
    <cellStyle name="40% - Accent2 2 3 2" xfId="638" xr:uid="{00000000-0005-0000-0000-000077000000}"/>
    <cellStyle name="40% - Accent2 2 3 2 2" xfId="4566" xr:uid="{318AF460-D7D6-4095-9788-326939B5426A}"/>
    <cellStyle name="40% - Accent2 2 3 2 2 2" xfId="8784" xr:uid="{5126E578-3871-4B19-B038-4187D4CB323F}"/>
    <cellStyle name="40% - Accent2 2 3 2 3" xfId="6639" xr:uid="{B3CEF00A-328E-4AB0-9C9F-F4C8B4757E86}"/>
    <cellStyle name="40% - Accent2 2 3 2 4" xfId="2335" xr:uid="{F2D1A413-ECF0-40C1-AA68-4C4D5179630F}"/>
    <cellStyle name="40% - Accent2 2 3 2 5" xfId="1508" xr:uid="{8A573B8D-93FD-4113-ACD0-5A498CCBCA2A}"/>
    <cellStyle name="40% - Accent2 2 3 2 6" xfId="10874" xr:uid="{A83F88C4-E732-4428-9471-453E62947C58}"/>
    <cellStyle name="40% - Accent2 2 3 3" xfId="2750" xr:uid="{1D45173A-F55B-40E1-A24B-59D765BC274F}"/>
    <cellStyle name="40% - Accent2 2 3 3 2" xfId="4979" xr:uid="{98CD400B-3D5E-47BE-A1EA-7024CB1C5F5C}"/>
    <cellStyle name="40% - Accent2 2 3 3 2 2" xfId="9197" xr:uid="{B157C16C-2BBA-4B2F-9710-B5E862E64FCF}"/>
    <cellStyle name="40% - Accent2 2 3 3 3" xfId="7052" xr:uid="{95F51F62-3606-4FFA-B2EE-4BDB2170B8C6}"/>
    <cellStyle name="40% - Accent2 2 3 4" xfId="3163" xr:uid="{6CE6562B-2536-4769-A4FF-1C09EB5E3D17}"/>
    <cellStyle name="40% - Accent2 2 3 4 2" xfId="5392" xr:uid="{8686201E-08A8-4B97-A6BE-D0715ADF6874}"/>
    <cellStyle name="40% - Accent2 2 3 4 2 2" xfId="9610" xr:uid="{155C301F-9C2F-41B2-95BE-9BA2A2AEA423}"/>
    <cellStyle name="40% - Accent2 2 3 4 3" xfId="7465" xr:uid="{184C3309-FA7D-4268-A3C4-79CB88B20A38}"/>
    <cellStyle name="40% - Accent2 2 3 5" xfId="3576" xr:uid="{8EA52B33-B5B0-4393-BC2A-E47E6730032B}"/>
    <cellStyle name="40% - Accent2 2 3 5 2" xfId="5805" xr:uid="{4B0C89BB-9B83-4A3A-9286-36C483AB98D0}"/>
    <cellStyle name="40% - Accent2 2 3 5 2 2" xfId="10023" xr:uid="{0190F426-7770-43EC-A524-6E2C40CD155F}"/>
    <cellStyle name="40% - Accent2 2 3 5 3" xfId="7878" xr:uid="{8B0F4DEB-B715-4893-8633-EAEE74FA3A72}"/>
    <cellStyle name="40% - Accent2 2 3 6" xfId="3989" xr:uid="{EB960AED-4312-4EE6-9EE5-62904F7144CE}"/>
    <cellStyle name="40% - Accent2 2 3 6 2" xfId="8291" xr:uid="{1D6E34E8-1511-4B72-9FC9-9D2D11242333}"/>
    <cellStyle name="40% - Accent2 2 3 7" xfId="6225" xr:uid="{A4116A9C-3811-474B-9AA2-44759222E3E8}"/>
    <cellStyle name="40% - Accent2 2 3 8" xfId="1921" xr:uid="{9C01806B-D994-4D90-A455-AF11E4B99198}"/>
    <cellStyle name="40% - Accent2 2 3 9" xfId="1092" xr:uid="{F682E59B-4A5C-454C-B834-7A4B3D3289CE}"/>
    <cellStyle name="40% - Accent2 2 4" xfId="635" xr:uid="{00000000-0005-0000-0000-000078000000}"/>
    <cellStyle name="40% - Accent2 2 4 2" xfId="4563" xr:uid="{D91C9D97-4224-45A8-AB10-2FDEE5985696}"/>
    <cellStyle name="40% - Accent2 2 4 2 2" xfId="8781" xr:uid="{5037B55E-ECE8-4005-BF4E-615662C3E309}"/>
    <cellStyle name="40% - Accent2 2 4 3" xfId="6636" xr:uid="{90F4E398-88AB-4D77-8623-C21606AC91B1}"/>
    <cellStyle name="40% - Accent2 2 4 4" xfId="2332" xr:uid="{D119D801-7B67-44C8-8559-4CBCA450E9D2}"/>
    <cellStyle name="40% - Accent2 2 4 5" xfId="1505" xr:uid="{820E081A-6079-424B-9163-428EF77118B9}"/>
    <cellStyle name="40% - Accent2 2 4 6" xfId="10871" xr:uid="{01B9DED8-C997-449C-851D-76358DD6087C}"/>
    <cellStyle name="40% - Accent2 2 5" xfId="2747" xr:uid="{1A75021F-F4C8-4295-BD9E-5BD62681DEEE}"/>
    <cellStyle name="40% - Accent2 2 5 2" xfId="4976" xr:uid="{509A1392-1494-4E57-8C4A-A0073CA70055}"/>
    <cellStyle name="40% - Accent2 2 5 2 2" xfId="9194" xr:uid="{537775D5-EC60-4C7D-BC28-2E34392EADC0}"/>
    <cellStyle name="40% - Accent2 2 5 3" xfId="7049" xr:uid="{BED6CFCE-82ED-4FF8-BA42-12FB19A2DE7A}"/>
    <cellStyle name="40% - Accent2 2 6" xfId="3160" xr:uid="{C84D25AC-5BD3-42DA-B9EC-1CAB8BEA9467}"/>
    <cellStyle name="40% - Accent2 2 6 2" xfId="5389" xr:uid="{18C4D20D-8A77-45F7-BDD4-FC2D4978251A}"/>
    <cellStyle name="40% - Accent2 2 6 2 2" xfId="9607" xr:uid="{F72B4514-7D21-4C07-859B-C366844C1A1B}"/>
    <cellStyle name="40% - Accent2 2 6 3" xfId="7462" xr:uid="{F761DB50-CBDF-4DCE-8F20-C47607F2BE51}"/>
    <cellStyle name="40% - Accent2 2 7" xfId="3573" xr:uid="{84951F76-2BFA-4825-A6BF-656522E9EE33}"/>
    <cellStyle name="40% - Accent2 2 7 2" xfId="5802" xr:uid="{D6A8B32F-6341-4DB5-8D19-C8416E51A74B}"/>
    <cellStyle name="40% - Accent2 2 7 2 2" xfId="10020" xr:uid="{4C0ABFD9-F93D-483C-974B-CA10EC982158}"/>
    <cellStyle name="40% - Accent2 2 7 3" xfId="7875" xr:uid="{4F072CD8-7827-44D7-96D4-EC34D4635E1D}"/>
    <cellStyle name="40% - Accent2 2 8" xfId="3986" xr:uid="{0310E7E7-883A-4A09-9089-64C267AF35B7}"/>
    <cellStyle name="40% - Accent2 2 8 2" xfId="8288" xr:uid="{DF524292-2AE4-447C-A0D6-E4C9BA03388E}"/>
    <cellStyle name="40% - Accent2 2 9" xfId="6222" xr:uid="{5D0F33B1-94F3-4D59-885A-D9EC6CB92C94}"/>
    <cellStyle name="40% - Accent2 3" xfId="62" xr:uid="{00000000-0005-0000-0000-000079000000}"/>
    <cellStyle name="40% - Accent2 3 10" xfId="1093" xr:uid="{6D34036F-0D32-42E9-88E1-9C9952282C58}"/>
    <cellStyle name="40% - Accent2 3 11" xfId="10459" xr:uid="{98C3E5AE-652D-4606-BDBE-8AFAA2A06D7C}"/>
    <cellStyle name="40% - Accent2 3 2" xfId="63" xr:uid="{00000000-0005-0000-0000-00007A000000}"/>
    <cellStyle name="40% - Accent2 3 2 10" xfId="10460" xr:uid="{6D8B68EB-20EB-467B-BB32-DCB89552DF91}"/>
    <cellStyle name="40% - Accent2 3 2 2" xfId="640" xr:uid="{00000000-0005-0000-0000-00007B000000}"/>
    <cellStyle name="40% - Accent2 3 2 2 2" xfId="4568" xr:uid="{DEC66261-7CD3-4647-A337-7C5394C53D18}"/>
    <cellStyle name="40% - Accent2 3 2 2 2 2" xfId="8786" xr:uid="{76A952DC-8597-4E49-827B-C4E1D7289410}"/>
    <cellStyle name="40% - Accent2 3 2 2 3" xfId="6641" xr:uid="{5F1074CE-B723-4A8C-A5D1-7F991F604C81}"/>
    <cellStyle name="40% - Accent2 3 2 2 4" xfId="2337" xr:uid="{2F89B7D9-1055-4FA1-A39F-606477C1765C}"/>
    <cellStyle name="40% - Accent2 3 2 2 5" xfId="1510" xr:uid="{124FD3BC-FD1E-4F5A-BF70-16402C0180D8}"/>
    <cellStyle name="40% - Accent2 3 2 2 6" xfId="10876" xr:uid="{A49C50D0-035E-4DA6-8D25-ECEA9FA95CAD}"/>
    <cellStyle name="40% - Accent2 3 2 3" xfId="2752" xr:uid="{B689ED2B-E443-4FAA-8AE6-39227DD84524}"/>
    <cellStyle name="40% - Accent2 3 2 3 2" xfId="4981" xr:uid="{C7C76C68-4E62-4663-8E4E-424C90701023}"/>
    <cellStyle name="40% - Accent2 3 2 3 2 2" xfId="9199" xr:uid="{A7A58D6B-EC3A-46AD-86A5-606FEA7953C6}"/>
    <cellStyle name="40% - Accent2 3 2 3 3" xfId="7054" xr:uid="{37CE3BA7-A740-4789-8601-D1DD59B52DF4}"/>
    <cellStyle name="40% - Accent2 3 2 4" xfId="3165" xr:uid="{9DF9B822-EB5B-43CA-9702-E51488F5EC39}"/>
    <cellStyle name="40% - Accent2 3 2 4 2" xfId="5394" xr:uid="{31FE8F0E-4DB5-4A7A-B3CD-8AEAD3A2B378}"/>
    <cellStyle name="40% - Accent2 3 2 4 2 2" xfId="9612" xr:uid="{2957BC09-11EB-4D45-83AE-1B30235E6D71}"/>
    <cellStyle name="40% - Accent2 3 2 4 3" xfId="7467" xr:uid="{5C41F6F6-C765-4EC2-B2D3-3093F7E41396}"/>
    <cellStyle name="40% - Accent2 3 2 5" xfId="3578" xr:uid="{360803A0-241F-4A32-BF3F-BC456649E461}"/>
    <cellStyle name="40% - Accent2 3 2 5 2" xfId="5807" xr:uid="{D55CE700-4EB2-4769-9B3A-EA1DD635FDD0}"/>
    <cellStyle name="40% - Accent2 3 2 5 2 2" xfId="10025" xr:uid="{1C8F80D6-3FE7-4847-9C2B-BDF994AFE26C}"/>
    <cellStyle name="40% - Accent2 3 2 5 3" xfId="7880" xr:uid="{BEEB56BF-6FE6-444D-A49B-B29C10962B00}"/>
    <cellStyle name="40% - Accent2 3 2 6" xfId="3991" xr:uid="{DEDF6328-E473-4AE0-BA9F-41744D4E92DA}"/>
    <cellStyle name="40% - Accent2 3 2 6 2" xfId="8293" xr:uid="{E135B629-E63A-4C94-9FE7-2ACD265A149A}"/>
    <cellStyle name="40% - Accent2 3 2 7" xfId="6227" xr:uid="{1D7502E7-B52A-44CF-B6DF-80277B31D0E7}"/>
    <cellStyle name="40% - Accent2 3 2 8" xfId="1923" xr:uid="{318C3138-D8E6-4122-A621-BCE919CEEA6A}"/>
    <cellStyle name="40% - Accent2 3 2 9" xfId="1094" xr:uid="{270A09AE-0771-43AA-AE9D-6BFEF5F36B4E}"/>
    <cellStyle name="40% - Accent2 3 3" xfId="639" xr:uid="{00000000-0005-0000-0000-00007C000000}"/>
    <cellStyle name="40% - Accent2 3 3 2" xfId="4567" xr:uid="{3505C781-6E22-4B79-AA52-5045E8C14EBC}"/>
    <cellStyle name="40% - Accent2 3 3 2 2" xfId="8785" xr:uid="{8BF5FC44-0024-45D1-9DE1-95193CCD5545}"/>
    <cellStyle name="40% - Accent2 3 3 3" xfId="6640" xr:uid="{73524C96-45B4-420E-B6C8-46ADD149FCE8}"/>
    <cellStyle name="40% - Accent2 3 3 4" xfId="2336" xr:uid="{DE8FE85D-FAFB-49B1-84F9-43FB5E293B41}"/>
    <cellStyle name="40% - Accent2 3 3 5" xfId="1509" xr:uid="{36D6CB1C-1108-45E7-86F2-CBB7EAAF0F41}"/>
    <cellStyle name="40% - Accent2 3 3 6" xfId="10875" xr:uid="{C3B9F57D-FA2B-4D2C-B070-540A96482B90}"/>
    <cellStyle name="40% - Accent2 3 4" xfId="2751" xr:uid="{1240B2E9-6B3C-4AFD-BAFD-6FE66BBD2E06}"/>
    <cellStyle name="40% - Accent2 3 4 2" xfId="4980" xr:uid="{007D4094-9B55-4ACC-8B6A-28CD05FD5C20}"/>
    <cellStyle name="40% - Accent2 3 4 2 2" xfId="9198" xr:uid="{83099B4F-5A42-4C41-90B7-3947E70A8B6B}"/>
    <cellStyle name="40% - Accent2 3 4 3" xfId="7053" xr:uid="{F24CD666-7D40-465E-AF11-5C009093DA1A}"/>
    <cellStyle name="40% - Accent2 3 5" xfId="3164" xr:uid="{C05C85F7-AB54-48F3-AD94-3202027AE6C5}"/>
    <cellStyle name="40% - Accent2 3 5 2" xfId="5393" xr:uid="{7FF02EDD-D442-4D86-949A-5CC7D3BACE7E}"/>
    <cellStyle name="40% - Accent2 3 5 2 2" xfId="9611" xr:uid="{57B8F40B-D484-4422-A28D-179136704F7F}"/>
    <cellStyle name="40% - Accent2 3 5 3" xfId="7466" xr:uid="{2734964D-E6BE-47BE-9BBB-05D370F272F4}"/>
    <cellStyle name="40% - Accent2 3 6" xfId="3577" xr:uid="{92E979F1-4804-4DBB-BD9F-FEC656B6754A}"/>
    <cellStyle name="40% - Accent2 3 6 2" xfId="5806" xr:uid="{1FE1366D-108D-4243-87C1-52623C39A10C}"/>
    <cellStyle name="40% - Accent2 3 6 2 2" xfId="10024" xr:uid="{084F7FC9-CCA3-42DC-9C78-074D42EB74FC}"/>
    <cellStyle name="40% - Accent2 3 6 3" xfId="7879" xr:uid="{D7652E28-AD4A-4009-908F-5EB421A1F18B}"/>
    <cellStyle name="40% - Accent2 3 7" xfId="3990" xr:uid="{2F0E28EB-C87C-4988-A2BA-8929D8B06689}"/>
    <cellStyle name="40% - Accent2 3 7 2" xfId="8292" xr:uid="{BD8F6A24-CFEB-4B91-A706-7774B8231B33}"/>
    <cellStyle name="40% - Accent2 3 8" xfId="6226" xr:uid="{1DBDDBFD-447C-4B6A-A33F-7B33E3014B3E}"/>
    <cellStyle name="40% - Accent2 3 9" xfId="1922" xr:uid="{3D9B5D2E-F40F-4044-9DD3-B2BDADEEB6B3}"/>
    <cellStyle name="40% - Accent2 4" xfId="64" xr:uid="{00000000-0005-0000-0000-00007D000000}"/>
    <cellStyle name="40% - Accent2 4 10" xfId="10461" xr:uid="{A3000239-39A7-4237-B2F0-8E5EC7644349}"/>
    <cellStyle name="40% - Accent2 4 2" xfId="641" xr:uid="{00000000-0005-0000-0000-00007E000000}"/>
    <cellStyle name="40% - Accent2 4 2 2" xfId="4569" xr:uid="{E4D06141-E098-4E9C-AB0B-8D5ABA08A1A2}"/>
    <cellStyle name="40% - Accent2 4 2 2 2" xfId="8787" xr:uid="{C127CB19-7DD8-43BA-92F0-C7BBD023E907}"/>
    <cellStyle name="40% - Accent2 4 2 3" xfId="6642" xr:uid="{18EE64B5-8306-4755-927A-BBB054087C8C}"/>
    <cellStyle name="40% - Accent2 4 2 4" xfId="2338" xr:uid="{C70B52D8-CAEC-4E1E-8BEC-19CF4F127EA1}"/>
    <cellStyle name="40% - Accent2 4 2 5" xfId="1511" xr:uid="{1A19053B-6360-4043-8025-9734DE745DA8}"/>
    <cellStyle name="40% - Accent2 4 2 6" xfId="10877" xr:uid="{19304214-28CF-45D9-BCC0-9B133E9ADE0F}"/>
    <cellStyle name="40% - Accent2 4 3" xfId="2753" xr:uid="{7314D655-F31B-48B6-8EF0-D7AAEF162F21}"/>
    <cellStyle name="40% - Accent2 4 3 2" xfId="4982" xr:uid="{C2715F76-34C6-4F62-A1FA-21304CA9533D}"/>
    <cellStyle name="40% - Accent2 4 3 2 2" xfId="9200" xr:uid="{1F676D6A-B634-4DF8-8B9C-24AACE5EFA04}"/>
    <cellStyle name="40% - Accent2 4 3 3" xfId="7055" xr:uid="{C2518086-DCC5-414C-A66A-7261A780E039}"/>
    <cellStyle name="40% - Accent2 4 4" xfId="3166" xr:uid="{F35288D3-140D-4BDC-8AB6-6C4C9027373C}"/>
    <cellStyle name="40% - Accent2 4 4 2" xfId="5395" xr:uid="{F626FE29-29C7-4DF8-B9D8-CF9C0FD867EC}"/>
    <cellStyle name="40% - Accent2 4 4 2 2" xfId="9613" xr:uid="{C903045F-8C4F-4843-A120-969A1950FB86}"/>
    <cellStyle name="40% - Accent2 4 4 3" xfId="7468" xr:uid="{A3F3C6C1-0315-4AE7-856B-FF6652AB8402}"/>
    <cellStyle name="40% - Accent2 4 5" xfId="3579" xr:uid="{6D52D777-46E0-41BE-9C5B-35BCE21CA383}"/>
    <cellStyle name="40% - Accent2 4 5 2" xfId="5808" xr:uid="{EE737D11-FFD7-4489-B8A3-474AC3856D0A}"/>
    <cellStyle name="40% - Accent2 4 5 2 2" xfId="10026" xr:uid="{35AC6573-AD13-4733-82DD-7D73E3F01E27}"/>
    <cellStyle name="40% - Accent2 4 5 3" xfId="7881" xr:uid="{965A48DA-0441-4B8B-BD6E-47510010E0B0}"/>
    <cellStyle name="40% - Accent2 4 6" xfId="3992" xr:uid="{66151D5F-C074-4A4F-A5C9-8721F09F771A}"/>
    <cellStyle name="40% - Accent2 4 6 2" xfId="8294" xr:uid="{D87BA0E4-4B84-4B00-AF70-4EBA4E096509}"/>
    <cellStyle name="40% - Accent2 4 7" xfId="6228" xr:uid="{24273A75-D6BB-4B65-9378-73D226F1FB60}"/>
    <cellStyle name="40% - Accent2 4 8" xfId="1924" xr:uid="{BD0F6EB2-8D82-4E41-90F0-D09771734E15}"/>
    <cellStyle name="40% - Accent2 4 9" xfId="1095" xr:uid="{BA8CCC82-42ED-49B2-8811-54ECBD9512D7}"/>
    <cellStyle name="40% - Accent2 5" xfId="634" xr:uid="{00000000-0005-0000-0000-00007F000000}"/>
    <cellStyle name="40% - Accent2 5 2" xfId="4562" xr:uid="{BB8C55A5-B5A1-42E7-934F-E80527B7ECE8}"/>
    <cellStyle name="40% - Accent2 5 2 2" xfId="8780" xr:uid="{4CAAB295-55BC-4EDA-8218-B8DA460D69E4}"/>
    <cellStyle name="40% - Accent2 5 3" xfId="6635" xr:uid="{F48FECBA-D2EF-4F47-A0B4-0C936D257F89}"/>
    <cellStyle name="40% - Accent2 5 4" xfId="2331" xr:uid="{94B5E202-450B-42C6-B58E-9A3AF1762377}"/>
    <cellStyle name="40% - Accent2 5 5" xfId="1504" xr:uid="{39ED658F-6280-4D19-AE81-8D5DC4D809EE}"/>
    <cellStyle name="40% - Accent2 5 6" xfId="10870" xr:uid="{5E907F55-4D46-4F5D-8C42-38DED333BE6A}"/>
    <cellStyle name="40% - Accent2 6" xfId="2746" xr:uid="{BDD17F1D-ACD3-4579-B4EC-D10696B59046}"/>
    <cellStyle name="40% - Accent2 6 2" xfId="4975" xr:uid="{C8A22838-2A95-4966-A85A-0E8BEC41FDD5}"/>
    <cellStyle name="40% - Accent2 6 2 2" xfId="9193" xr:uid="{38269DA9-F9F0-4C63-A1FD-4E8704F86FE8}"/>
    <cellStyle name="40% - Accent2 6 3" xfId="7048" xr:uid="{5A83A32B-0062-4677-8CA6-810F493737E2}"/>
    <cellStyle name="40% - Accent2 7" xfId="3159" xr:uid="{AEF56F3D-AE8D-4E44-8F69-F9356C48A5EA}"/>
    <cellStyle name="40% - Accent2 7 2" xfId="5388" xr:uid="{F5E46A7A-3712-47A5-80DB-32CF60A9F5F8}"/>
    <cellStyle name="40% - Accent2 7 2 2" xfId="9606" xr:uid="{1A3489EB-F2D5-4DD3-9EE0-B8C9481A8E38}"/>
    <cellStyle name="40% - Accent2 7 3" xfId="7461" xr:uid="{73ACB6CC-9C25-4F3B-963D-85C4CC0775F2}"/>
    <cellStyle name="40% - Accent2 8" xfId="3572" xr:uid="{C9A4B95D-1F24-404B-A422-7FB862C07F3F}"/>
    <cellStyle name="40% - Accent2 8 2" xfId="5801" xr:uid="{78FDC9E1-5F1B-4CF8-A17A-B1F27923CA2E}"/>
    <cellStyle name="40% - Accent2 8 2 2" xfId="10019" xr:uid="{3A579C97-2417-433F-B1B5-5BAF69946521}"/>
    <cellStyle name="40% - Accent2 8 3" xfId="7874" xr:uid="{0D6EC52D-9556-400A-B3AA-67929A4A0768}"/>
    <cellStyle name="40% - Accent2 9" xfId="3985" xr:uid="{1E0AAEF6-92D8-4178-A68E-51A8388DBAAF}"/>
    <cellStyle name="40% - Accent2 9 2" xfId="8287" xr:uid="{0F533F21-8AF8-4F04-A5B1-41EA748E39CA}"/>
    <cellStyle name="40% - Accent3" xfId="65" builtinId="39" customBuiltin="1"/>
    <cellStyle name="40% - Accent3 10" xfId="6229" xr:uid="{0A1F383D-5392-4787-904B-9937774958D6}"/>
    <cellStyle name="40% - Accent3 11" xfId="1925" xr:uid="{89AA2977-D750-415D-9DC1-E167D2CD39A2}"/>
    <cellStyle name="40% - Accent3 12" xfId="1096" xr:uid="{0D9936CC-34CB-49D5-8FCC-258C9E9C5E86}"/>
    <cellStyle name="40% - Accent3 13" xfId="10462" xr:uid="{6920E3EF-EB0F-4F01-A3F7-8077692C326A}"/>
    <cellStyle name="40% - Accent3 2" xfId="66" xr:uid="{00000000-0005-0000-0000-000081000000}"/>
    <cellStyle name="40% - Accent3 2 10" xfId="1926" xr:uid="{AF480FD4-AA22-439A-AE6A-D9FBAEDA5CDE}"/>
    <cellStyle name="40% - Accent3 2 11" xfId="1097" xr:uid="{00465ABE-6A1A-4242-8E8E-D7E1F2915173}"/>
    <cellStyle name="40% - Accent3 2 12" xfId="10463" xr:uid="{5D454259-4290-4F53-AAFF-E6CB8918524E}"/>
    <cellStyle name="40% - Accent3 2 2" xfId="67" xr:uid="{00000000-0005-0000-0000-000082000000}"/>
    <cellStyle name="40% - Accent3 2 2 10" xfId="1098" xr:uid="{B87A4AF1-0A47-45F0-8F99-0FBD1E97412E}"/>
    <cellStyle name="40% - Accent3 2 2 11" xfId="10464" xr:uid="{0C1EC16F-0315-4888-97F0-A58B0BA40857}"/>
    <cellStyle name="40% - Accent3 2 2 2" xfId="68" xr:uid="{00000000-0005-0000-0000-000083000000}"/>
    <cellStyle name="40% - Accent3 2 2 2 10" xfId="10465" xr:uid="{2F7E37F4-2411-431D-83FF-15FD8FE3B2CD}"/>
    <cellStyle name="40% - Accent3 2 2 2 2" xfId="645" xr:uid="{00000000-0005-0000-0000-000084000000}"/>
    <cellStyle name="40% - Accent3 2 2 2 2 2" xfId="4573" xr:uid="{0C6B3C19-9D17-4CFC-99A8-959A74D92EEC}"/>
    <cellStyle name="40% - Accent3 2 2 2 2 2 2" xfId="8791" xr:uid="{9BC5AE99-5156-4DDC-8970-2E1906D4C4C0}"/>
    <cellStyle name="40% - Accent3 2 2 2 2 3" xfId="6646" xr:uid="{69F23A86-F75A-4B8F-94B0-773CA4FBA09D}"/>
    <cellStyle name="40% - Accent3 2 2 2 2 4" xfId="2342" xr:uid="{4BE1C33E-3A1F-4DEB-BBA4-66EC0C542AFE}"/>
    <cellStyle name="40% - Accent3 2 2 2 2 5" xfId="1515" xr:uid="{558D5D42-BF0F-4236-B76C-AFA62E34B498}"/>
    <cellStyle name="40% - Accent3 2 2 2 2 6" xfId="10881" xr:uid="{E4025649-B64C-4DF2-8A14-7A491FA05C08}"/>
    <cellStyle name="40% - Accent3 2 2 2 3" xfId="2757" xr:uid="{24A7C8BB-C5C5-44D8-86EA-9308C0595309}"/>
    <cellStyle name="40% - Accent3 2 2 2 3 2" xfId="4986" xr:uid="{78CF7E9E-BB96-45B2-ABAA-60ED8EAB5019}"/>
    <cellStyle name="40% - Accent3 2 2 2 3 2 2" xfId="9204" xr:uid="{5DFA5405-65DF-46E7-A039-3181EAE3BF6E}"/>
    <cellStyle name="40% - Accent3 2 2 2 3 3" xfId="7059" xr:uid="{F5E0DDD8-5584-4ECE-85B9-FC3AA7AB0C83}"/>
    <cellStyle name="40% - Accent3 2 2 2 4" xfId="3170" xr:uid="{9E76E79E-0B0B-48FB-84B9-6A699C528B12}"/>
    <cellStyle name="40% - Accent3 2 2 2 4 2" xfId="5399" xr:uid="{6ACED3FD-E5C0-4DC1-A70C-3BB1CE0131EF}"/>
    <cellStyle name="40% - Accent3 2 2 2 4 2 2" xfId="9617" xr:uid="{2D32D4F0-9A59-4C4D-BC1A-00C850EA7DE9}"/>
    <cellStyle name="40% - Accent3 2 2 2 4 3" xfId="7472" xr:uid="{D0817AC8-6B4E-4C8D-A361-51C7029AE6B5}"/>
    <cellStyle name="40% - Accent3 2 2 2 5" xfId="3583" xr:uid="{581DCF78-3590-43B4-AB5F-E76AAB33595B}"/>
    <cellStyle name="40% - Accent3 2 2 2 5 2" xfId="5812" xr:uid="{04C28992-6E0C-4EB4-BA1C-059353ECDCC7}"/>
    <cellStyle name="40% - Accent3 2 2 2 5 2 2" xfId="10030" xr:uid="{7135A402-F80D-436C-A992-014C2456B762}"/>
    <cellStyle name="40% - Accent3 2 2 2 5 3" xfId="7885" xr:uid="{35504ADC-90B3-4862-A6CD-CF62A3224E61}"/>
    <cellStyle name="40% - Accent3 2 2 2 6" xfId="3996" xr:uid="{B6F26AD2-C1C7-421C-B4E1-2805E39F393E}"/>
    <cellStyle name="40% - Accent3 2 2 2 6 2" xfId="8298" xr:uid="{7D5AE95F-CEA4-4E62-95CF-2535CF7BD143}"/>
    <cellStyle name="40% - Accent3 2 2 2 7" xfId="6232" xr:uid="{DF7BF263-063B-4AC0-AB41-0F9AF3722DA1}"/>
    <cellStyle name="40% - Accent3 2 2 2 8" xfId="1928" xr:uid="{B4D975A0-AED2-464A-9E92-573ED143189E}"/>
    <cellStyle name="40% - Accent3 2 2 2 9" xfId="1099" xr:uid="{19A965DD-2DBC-488C-82F3-2387F9D56B1E}"/>
    <cellStyle name="40% - Accent3 2 2 3" xfId="644" xr:uid="{00000000-0005-0000-0000-000085000000}"/>
    <cellStyle name="40% - Accent3 2 2 3 2" xfId="4572" xr:uid="{D77D907B-5EBB-4967-975E-C81A28EF75F8}"/>
    <cellStyle name="40% - Accent3 2 2 3 2 2" xfId="8790" xr:uid="{4984452B-BD67-4AA5-9FDB-D9592158BEF1}"/>
    <cellStyle name="40% - Accent3 2 2 3 3" xfId="6645" xr:uid="{7781578C-1F7B-45BD-83A8-9CFE04CCBA95}"/>
    <cellStyle name="40% - Accent3 2 2 3 4" xfId="2341" xr:uid="{4433E0E6-617B-44D3-9516-DA9C7C5524A3}"/>
    <cellStyle name="40% - Accent3 2 2 3 5" xfId="1514" xr:uid="{7039A10F-750D-4185-8562-4CB5313F95CD}"/>
    <cellStyle name="40% - Accent3 2 2 3 6" xfId="10880" xr:uid="{56F2C2C1-B6BF-4561-B206-C54BDFD90ACE}"/>
    <cellStyle name="40% - Accent3 2 2 4" xfId="2756" xr:uid="{6336EE96-9484-4B05-B002-7B44468CEB3E}"/>
    <cellStyle name="40% - Accent3 2 2 4 2" xfId="4985" xr:uid="{C7FCF0E4-C108-476C-A194-81EB6100F400}"/>
    <cellStyle name="40% - Accent3 2 2 4 2 2" xfId="9203" xr:uid="{8C8D2933-5348-46FF-8B66-3CE002D53980}"/>
    <cellStyle name="40% - Accent3 2 2 4 3" xfId="7058" xr:uid="{801F2CA9-FC4D-4D88-A9B2-AC79465D61A6}"/>
    <cellStyle name="40% - Accent3 2 2 5" xfId="3169" xr:uid="{264493FE-C40B-426A-87E9-2C36500BDFF8}"/>
    <cellStyle name="40% - Accent3 2 2 5 2" xfId="5398" xr:uid="{4E135D56-E706-4617-B909-7DA63FABFF7C}"/>
    <cellStyle name="40% - Accent3 2 2 5 2 2" xfId="9616" xr:uid="{6802A91C-C930-48E2-AC39-E0DA66FE2918}"/>
    <cellStyle name="40% - Accent3 2 2 5 3" xfId="7471" xr:uid="{64CB9E59-5CA0-48CE-960A-6CA6BCA5CF80}"/>
    <cellStyle name="40% - Accent3 2 2 6" xfId="3582" xr:uid="{C5D750A1-758D-4637-8CA2-9B6B0DF60F28}"/>
    <cellStyle name="40% - Accent3 2 2 6 2" xfId="5811" xr:uid="{DB860074-F82B-4274-B4FB-5C3C7AAB8C55}"/>
    <cellStyle name="40% - Accent3 2 2 6 2 2" xfId="10029" xr:uid="{E33BC12D-8C83-4D06-B01B-3AEE3743906B}"/>
    <cellStyle name="40% - Accent3 2 2 6 3" xfId="7884" xr:uid="{A02F4643-2FDB-452E-9997-2E9C193F11A8}"/>
    <cellStyle name="40% - Accent3 2 2 7" xfId="3995" xr:uid="{3AAE5417-F2E1-47FA-B015-939B3102237A}"/>
    <cellStyle name="40% - Accent3 2 2 7 2" xfId="8297" xr:uid="{1766CF0A-7AB0-4B7F-8F5D-C4DFE5A3CA76}"/>
    <cellStyle name="40% - Accent3 2 2 8" xfId="6231" xr:uid="{DB42EB7B-E957-462F-8467-5855A5A07D21}"/>
    <cellStyle name="40% - Accent3 2 2 9" xfId="1927" xr:uid="{3F6A337C-12C5-45AD-99D6-A8BCD4BCCA86}"/>
    <cellStyle name="40% - Accent3 2 3" xfId="69" xr:uid="{00000000-0005-0000-0000-000086000000}"/>
    <cellStyle name="40% - Accent3 2 3 10" xfId="10466" xr:uid="{18CFEB69-4E14-4C85-B627-375A9CAB7203}"/>
    <cellStyle name="40% - Accent3 2 3 2" xfId="646" xr:uid="{00000000-0005-0000-0000-000087000000}"/>
    <cellStyle name="40% - Accent3 2 3 2 2" xfId="4574" xr:uid="{95D3D460-C852-4A18-9932-B6AF23A9B1C6}"/>
    <cellStyle name="40% - Accent3 2 3 2 2 2" xfId="8792" xr:uid="{21C4036F-045D-41B6-A946-DC1B214EB4D4}"/>
    <cellStyle name="40% - Accent3 2 3 2 3" xfId="6647" xr:uid="{840B1DB0-0F45-4FF1-84F3-8A8659830211}"/>
    <cellStyle name="40% - Accent3 2 3 2 4" xfId="2343" xr:uid="{9DCB7E74-2F2F-448B-AB5D-7016288C403C}"/>
    <cellStyle name="40% - Accent3 2 3 2 5" xfId="1516" xr:uid="{B0C63FF1-B72A-4CCB-8B1D-3A17A15BAAE5}"/>
    <cellStyle name="40% - Accent3 2 3 2 6" xfId="10882" xr:uid="{484D85DF-2472-415C-8906-44754B3F2D4C}"/>
    <cellStyle name="40% - Accent3 2 3 3" xfId="2758" xr:uid="{D791A6F5-9572-4DBC-950F-112D0FEF2EF6}"/>
    <cellStyle name="40% - Accent3 2 3 3 2" xfId="4987" xr:uid="{5FD06344-E867-4EDD-8C6C-6EE83EB996E0}"/>
    <cellStyle name="40% - Accent3 2 3 3 2 2" xfId="9205" xr:uid="{BFC74A44-3472-45B5-85A6-BE14690C5E1C}"/>
    <cellStyle name="40% - Accent3 2 3 3 3" xfId="7060" xr:uid="{68117E13-2F22-42D5-BF07-EFF80454C6A3}"/>
    <cellStyle name="40% - Accent3 2 3 4" xfId="3171" xr:uid="{2AB7A2A7-1BFF-4279-8F87-690BAB214BE7}"/>
    <cellStyle name="40% - Accent3 2 3 4 2" xfId="5400" xr:uid="{AA2B04AE-098B-4478-A337-CB304CFEDDB2}"/>
    <cellStyle name="40% - Accent3 2 3 4 2 2" xfId="9618" xr:uid="{655063E0-2F0D-42F7-892D-BBE3F5CCB9BA}"/>
    <cellStyle name="40% - Accent3 2 3 4 3" xfId="7473" xr:uid="{980D0084-4459-4E98-A1E8-A258DD2BDD44}"/>
    <cellStyle name="40% - Accent3 2 3 5" xfId="3584" xr:uid="{58F3039C-11C6-41E0-B4EE-9FA498BB1B6D}"/>
    <cellStyle name="40% - Accent3 2 3 5 2" xfId="5813" xr:uid="{D88818A6-BA5B-4460-9365-4F86D025AA15}"/>
    <cellStyle name="40% - Accent3 2 3 5 2 2" xfId="10031" xr:uid="{87D8BAA4-D418-4E28-8BB1-2A530A5F73ED}"/>
    <cellStyle name="40% - Accent3 2 3 5 3" xfId="7886" xr:uid="{A592A50E-C463-4D65-83E5-070FD516167C}"/>
    <cellStyle name="40% - Accent3 2 3 6" xfId="3997" xr:uid="{118417AC-E807-461D-8D3A-2D1040BDEB06}"/>
    <cellStyle name="40% - Accent3 2 3 6 2" xfId="8299" xr:uid="{8A3DC29B-1E76-4799-873C-5374A3B9D591}"/>
    <cellStyle name="40% - Accent3 2 3 7" xfId="6233" xr:uid="{F05C623A-0D54-4AC0-ADC3-0BC566AEDB71}"/>
    <cellStyle name="40% - Accent3 2 3 8" xfId="1929" xr:uid="{756C0A93-BC55-43F3-82F1-75EB1B3F8552}"/>
    <cellStyle name="40% - Accent3 2 3 9" xfId="1100" xr:uid="{8AA7B122-A099-4C9D-9FF5-5E5A42E3141A}"/>
    <cellStyle name="40% - Accent3 2 4" xfId="643" xr:uid="{00000000-0005-0000-0000-000088000000}"/>
    <cellStyle name="40% - Accent3 2 4 2" xfId="4571" xr:uid="{91BA5F7D-D186-43AA-9BDB-03B62A0C9756}"/>
    <cellStyle name="40% - Accent3 2 4 2 2" xfId="8789" xr:uid="{38658311-00AC-4D21-8329-4024F96711A3}"/>
    <cellStyle name="40% - Accent3 2 4 3" xfId="6644" xr:uid="{BD33F175-F6ED-4EF7-B457-4A797E313FF2}"/>
    <cellStyle name="40% - Accent3 2 4 4" xfId="2340" xr:uid="{960A29E5-AD22-428E-AB40-44F3B9C6DD84}"/>
    <cellStyle name="40% - Accent3 2 4 5" xfId="1513" xr:uid="{B78143E7-479E-4853-9DBA-933AAC6F2BF4}"/>
    <cellStyle name="40% - Accent3 2 4 6" xfId="10879" xr:uid="{BE7FB304-6FC9-456A-87DE-7A5EAB9C5DEF}"/>
    <cellStyle name="40% - Accent3 2 5" xfId="2755" xr:uid="{25512465-F2A9-4653-80B3-6EDF93E1FF7B}"/>
    <cellStyle name="40% - Accent3 2 5 2" xfId="4984" xr:uid="{878955C3-BE75-4E0E-8ED0-BD066D53186B}"/>
    <cellStyle name="40% - Accent3 2 5 2 2" xfId="9202" xr:uid="{F62DF972-D414-4883-96C4-7856EB48A4FF}"/>
    <cellStyle name="40% - Accent3 2 5 3" xfId="7057" xr:uid="{1641A183-32D1-422E-AA72-9D602CC7B6D8}"/>
    <cellStyle name="40% - Accent3 2 6" xfId="3168" xr:uid="{DE4E2206-654F-48FE-807A-14A12D6F580B}"/>
    <cellStyle name="40% - Accent3 2 6 2" xfId="5397" xr:uid="{83211646-285D-4830-BC72-2FCD4127B898}"/>
    <cellStyle name="40% - Accent3 2 6 2 2" xfId="9615" xr:uid="{2B33B9DC-366B-4CA6-B21A-E635F6A61D13}"/>
    <cellStyle name="40% - Accent3 2 6 3" xfId="7470" xr:uid="{3D85B3C6-D16F-40B7-9963-E5307572E273}"/>
    <cellStyle name="40% - Accent3 2 7" xfId="3581" xr:uid="{CA9352C9-7B4C-4B5E-8CBD-CB6E14E9791C}"/>
    <cellStyle name="40% - Accent3 2 7 2" xfId="5810" xr:uid="{DF9C0A10-3A34-4911-9223-E57925D37314}"/>
    <cellStyle name="40% - Accent3 2 7 2 2" xfId="10028" xr:uid="{7013D9FE-3B39-4BF1-8FFE-2688945A855E}"/>
    <cellStyle name="40% - Accent3 2 7 3" xfId="7883" xr:uid="{C00ADE69-F9B9-4A1D-BCAC-E01EC9C839A8}"/>
    <cellStyle name="40% - Accent3 2 8" xfId="3994" xr:uid="{708628E2-CD47-40B2-B200-087C4218B656}"/>
    <cellStyle name="40% - Accent3 2 8 2" xfId="8296" xr:uid="{E84D9B3A-1207-48A6-B31F-EBEB32617DD4}"/>
    <cellStyle name="40% - Accent3 2 9" xfId="6230" xr:uid="{9ECBBFB0-8D5B-4528-9C21-8E012F41917D}"/>
    <cellStyle name="40% - Accent3 3" xfId="70" xr:uid="{00000000-0005-0000-0000-000089000000}"/>
    <cellStyle name="40% - Accent3 3 10" xfId="1101" xr:uid="{87F683CC-B0E6-4BB4-9705-D2F8407B9DA5}"/>
    <cellStyle name="40% - Accent3 3 11" xfId="10467" xr:uid="{604F866B-AF63-45D7-A72A-DC4F60F33CBC}"/>
    <cellStyle name="40% - Accent3 3 2" xfId="71" xr:uid="{00000000-0005-0000-0000-00008A000000}"/>
    <cellStyle name="40% - Accent3 3 2 10" xfId="10468" xr:uid="{ADC6E39D-70D2-436A-8BB4-B20BA06F9CED}"/>
    <cellStyle name="40% - Accent3 3 2 2" xfId="648" xr:uid="{00000000-0005-0000-0000-00008B000000}"/>
    <cellStyle name="40% - Accent3 3 2 2 2" xfId="4576" xr:uid="{DE242983-16CB-4A34-B6C3-AE8F71292E57}"/>
    <cellStyle name="40% - Accent3 3 2 2 2 2" xfId="8794" xr:uid="{74DF9D2F-6E12-4263-9DFC-8B53CE29B11C}"/>
    <cellStyle name="40% - Accent3 3 2 2 3" xfId="6649" xr:uid="{9379FF9E-9191-4E5A-965C-90AFE533B72B}"/>
    <cellStyle name="40% - Accent3 3 2 2 4" xfId="2345" xr:uid="{5200F748-392B-4902-9F7C-CBCAA928D902}"/>
    <cellStyle name="40% - Accent3 3 2 2 5" xfId="1518" xr:uid="{32B4C8D6-790A-4674-91D5-096E4C0099FE}"/>
    <cellStyle name="40% - Accent3 3 2 2 6" xfId="10884" xr:uid="{380DDB0F-A9AC-429B-B26C-7D8EFEA32279}"/>
    <cellStyle name="40% - Accent3 3 2 3" xfId="2760" xr:uid="{F6F5F818-B12C-4F34-AA8A-7F7B37F3FB23}"/>
    <cellStyle name="40% - Accent3 3 2 3 2" xfId="4989" xr:uid="{31A01E17-75D5-45A3-9D3D-F34BA6ED9AD5}"/>
    <cellStyle name="40% - Accent3 3 2 3 2 2" xfId="9207" xr:uid="{3502D606-18B5-44C0-BB0B-28EC3AEE124C}"/>
    <cellStyle name="40% - Accent3 3 2 3 3" xfId="7062" xr:uid="{3AA2DF56-1656-4256-BF01-1BFF0FC91513}"/>
    <cellStyle name="40% - Accent3 3 2 4" xfId="3173" xr:uid="{13C62F6A-A501-4E40-A068-47D31CA27F0C}"/>
    <cellStyle name="40% - Accent3 3 2 4 2" xfId="5402" xr:uid="{CD1F6A34-4C83-4BE4-AFAA-DB839CD44CEF}"/>
    <cellStyle name="40% - Accent3 3 2 4 2 2" xfId="9620" xr:uid="{DE2B384B-0E3A-402A-BE13-29A7A61BC44D}"/>
    <cellStyle name="40% - Accent3 3 2 4 3" xfId="7475" xr:uid="{92E669C4-75EE-4BAE-9148-0D71A7EE4D75}"/>
    <cellStyle name="40% - Accent3 3 2 5" xfId="3586" xr:uid="{0C515621-3785-4277-8828-B6D6E33C3E09}"/>
    <cellStyle name="40% - Accent3 3 2 5 2" xfId="5815" xr:uid="{B85203FD-F89D-427A-8A8E-1917129F8627}"/>
    <cellStyle name="40% - Accent3 3 2 5 2 2" xfId="10033" xr:uid="{9BD2492F-E889-4890-A61A-13EDB72BE501}"/>
    <cellStyle name="40% - Accent3 3 2 5 3" xfId="7888" xr:uid="{4E8AA68B-84B9-49E4-86E8-73600E216C7A}"/>
    <cellStyle name="40% - Accent3 3 2 6" xfId="3999" xr:uid="{AC5D403C-E7AC-4C93-81A7-E7B5534404A1}"/>
    <cellStyle name="40% - Accent3 3 2 6 2" xfId="8301" xr:uid="{A1AD4541-5B78-4969-9D97-71A61A7BCB38}"/>
    <cellStyle name="40% - Accent3 3 2 7" xfId="6235" xr:uid="{A2892CD0-AA35-4FDA-8392-DCDE08EF06F1}"/>
    <cellStyle name="40% - Accent3 3 2 8" xfId="1931" xr:uid="{66714B7F-B489-4733-9FE6-74B809D35C8F}"/>
    <cellStyle name="40% - Accent3 3 2 9" xfId="1102" xr:uid="{629ABEA8-3D21-466D-A148-27CB6247D35C}"/>
    <cellStyle name="40% - Accent3 3 3" xfId="647" xr:uid="{00000000-0005-0000-0000-00008C000000}"/>
    <cellStyle name="40% - Accent3 3 3 2" xfId="4575" xr:uid="{88CDC724-3219-4751-8114-86E27EF323AF}"/>
    <cellStyle name="40% - Accent3 3 3 2 2" xfId="8793" xr:uid="{98FCB2D5-96BC-46CC-9CE9-D8D9A5381FE5}"/>
    <cellStyle name="40% - Accent3 3 3 3" xfId="6648" xr:uid="{69C978B5-BB90-4B0A-91E7-42954EB23070}"/>
    <cellStyle name="40% - Accent3 3 3 4" xfId="2344" xr:uid="{24D8380B-DDC9-45E1-AB01-6AE8EAC6F30A}"/>
    <cellStyle name="40% - Accent3 3 3 5" xfId="1517" xr:uid="{AEB68301-0EE7-452E-8C3D-95325AEC83FF}"/>
    <cellStyle name="40% - Accent3 3 3 6" xfId="10883" xr:uid="{A8FE6102-AD34-478B-9CA0-556360318DBC}"/>
    <cellStyle name="40% - Accent3 3 4" xfId="2759" xr:uid="{76222203-814C-46F6-813D-825288E39B49}"/>
    <cellStyle name="40% - Accent3 3 4 2" xfId="4988" xr:uid="{E1CB5F94-ADC3-4DFD-A57C-E41CACA38DA4}"/>
    <cellStyle name="40% - Accent3 3 4 2 2" xfId="9206" xr:uid="{C8BE3AD7-B51F-4A57-8832-454F924F9B0C}"/>
    <cellStyle name="40% - Accent3 3 4 3" xfId="7061" xr:uid="{55277F97-8649-4832-B53C-35CC0B949BB2}"/>
    <cellStyle name="40% - Accent3 3 5" xfId="3172" xr:uid="{BE09B873-1799-42B4-95FB-44C7080A8153}"/>
    <cellStyle name="40% - Accent3 3 5 2" xfId="5401" xr:uid="{2541F5F6-84BC-4CCE-9F46-CA38AD5FD191}"/>
    <cellStyle name="40% - Accent3 3 5 2 2" xfId="9619" xr:uid="{5D3914AA-5A6B-43F0-875C-42024ED1C60A}"/>
    <cellStyle name="40% - Accent3 3 5 3" xfId="7474" xr:uid="{F2B418DB-C060-4E61-939F-297B4BB22B4D}"/>
    <cellStyle name="40% - Accent3 3 6" xfId="3585" xr:uid="{19CBA2F9-BEAA-4D08-A614-3BA83E2926E3}"/>
    <cellStyle name="40% - Accent3 3 6 2" xfId="5814" xr:uid="{1DD9B596-1FB8-4E9A-86EC-9ABBDB5BB433}"/>
    <cellStyle name="40% - Accent3 3 6 2 2" xfId="10032" xr:uid="{19070BF9-0347-40AB-9D58-FDDCBFD6F5E1}"/>
    <cellStyle name="40% - Accent3 3 6 3" xfId="7887" xr:uid="{C0660328-9FB6-4AEA-BA78-C36A5932EFA7}"/>
    <cellStyle name="40% - Accent3 3 7" xfId="3998" xr:uid="{BA13A564-6B01-4763-AABF-244AF3D233C7}"/>
    <cellStyle name="40% - Accent3 3 7 2" xfId="8300" xr:uid="{B00AB562-25BB-4425-A6FE-D5A34D30B9B7}"/>
    <cellStyle name="40% - Accent3 3 8" xfId="6234" xr:uid="{D41FBAED-91D3-44AB-85FB-B4E7BB625A88}"/>
    <cellStyle name="40% - Accent3 3 9" xfId="1930" xr:uid="{CA94B8A9-2F66-45C5-86F2-9F648BACC806}"/>
    <cellStyle name="40% - Accent3 4" xfId="72" xr:uid="{00000000-0005-0000-0000-00008D000000}"/>
    <cellStyle name="40% - Accent3 4 10" xfId="10469" xr:uid="{617BF925-1FCE-446E-9379-B08802EF5FC9}"/>
    <cellStyle name="40% - Accent3 4 2" xfId="649" xr:uid="{00000000-0005-0000-0000-00008E000000}"/>
    <cellStyle name="40% - Accent3 4 2 2" xfId="4577" xr:uid="{450C200C-DD6A-4D93-AF98-AD2A25A17F89}"/>
    <cellStyle name="40% - Accent3 4 2 2 2" xfId="8795" xr:uid="{2E543743-4DA4-4EDE-93EC-60FB1B513426}"/>
    <cellStyle name="40% - Accent3 4 2 3" xfId="6650" xr:uid="{A4489C81-4EA2-468F-8B15-501562395B8E}"/>
    <cellStyle name="40% - Accent3 4 2 4" xfId="2346" xr:uid="{1955E782-1252-47CD-A7AD-C4840589A729}"/>
    <cellStyle name="40% - Accent3 4 2 5" xfId="1519" xr:uid="{E0A3172F-5B36-4B47-B69F-52503107796D}"/>
    <cellStyle name="40% - Accent3 4 2 6" xfId="10885" xr:uid="{88EDA5B5-4B0E-499A-A36F-9FAEC15121B4}"/>
    <cellStyle name="40% - Accent3 4 3" xfId="2761" xr:uid="{48BA7F94-454E-4504-BCF1-1C8BC9BB9E79}"/>
    <cellStyle name="40% - Accent3 4 3 2" xfId="4990" xr:uid="{1CA702C5-0D39-4720-B17D-85525FD2676D}"/>
    <cellStyle name="40% - Accent3 4 3 2 2" xfId="9208" xr:uid="{D08D5D0A-5BDE-44AF-8C98-7DCD77320536}"/>
    <cellStyle name="40% - Accent3 4 3 3" xfId="7063" xr:uid="{1A97279E-6B1E-4B91-AF06-91A13DC735B3}"/>
    <cellStyle name="40% - Accent3 4 4" xfId="3174" xr:uid="{FBFAE6F6-2ABE-4044-A9E0-FF21906F7BBA}"/>
    <cellStyle name="40% - Accent3 4 4 2" xfId="5403" xr:uid="{A49A279F-244E-472B-84F6-5252799D8DFC}"/>
    <cellStyle name="40% - Accent3 4 4 2 2" xfId="9621" xr:uid="{0890CA1B-0780-4216-9C3B-F9624E75FD67}"/>
    <cellStyle name="40% - Accent3 4 4 3" xfId="7476" xr:uid="{A418095D-8469-4C56-A237-9832FD47A1C1}"/>
    <cellStyle name="40% - Accent3 4 5" xfId="3587" xr:uid="{454C4832-8A32-452E-A379-43B58782D341}"/>
    <cellStyle name="40% - Accent3 4 5 2" xfId="5816" xr:uid="{E47B1C9D-8F0C-47FE-967E-B34F0B04BD65}"/>
    <cellStyle name="40% - Accent3 4 5 2 2" xfId="10034" xr:uid="{04B7D498-C971-416A-A172-058776953055}"/>
    <cellStyle name="40% - Accent3 4 5 3" xfId="7889" xr:uid="{8EA3C8DA-9E8C-4230-B87D-CD57C040982F}"/>
    <cellStyle name="40% - Accent3 4 6" xfId="4000" xr:uid="{3CE34FCB-F842-465A-A1C4-77CC4D6429A3}"/>
    <cellStyle name="40% - Accent3 4 6 2" xfId="8302" xr:uid="{99D2DF69-9171-4DE0-BD76-B2B016A6DA99}"/>
    <cellStyle name="40% - Accent3 4 7" xfId="6236" xr:uid="{4D89400E-F666-4E68-8E17-D077A9AD5F76}"/>
    <cellStyle name="40% - Accent3 4 8" xfId="1932" xr:uid="{3BDAAD71-DB64-406E-AEC5-B998202CF1DC}"/>
    <cellStyle name="40% - Accent3 4 9" xfId="1103" xr:uid="{F8BDD65C-851E-4925-9F0E-34BA7AA9FDB4}"/>
    <cellStyle name="40% - Accent3 5" xfId="642" xr:uid="{00000000-0005-0000-0000-00008F000000}"/>
    <cellStyle name="40% - Accent3 5 2" xfId="4570" xr:uid="{BA255B5F-723F-4DE5-9293-374FA13B32A6}"/>
    <cellStyle name="40% - Accent3 5 2 2" xfId="8788" xr:uid="{63CDAF91-5BB4-4A4F-A9B4-D2507CC064A8}"/>
    <cellStyle name="40% - Accent3 5 3" xfId="6643" xr:uid="{2248A754-0F4A-472F-8D87-70A77B81529B}"/>
    <cellStyle name="40% - Accent3 5 4" xfId="2339" xr:uid="{87BBF44E-8B52-4062-B5C0-DF4282CC8B53}"/>
    <cellStyle name="40% - Accent3 5 5" xfId="1512" xr:uid="{114DDCC2-84E5-43DD-867F-5D470878B75D}"/>
    <cellStyle name="40% - Accent3 5 6" xfId="10878" xr:uid="{D494D8DF-39ED-4309-8FE3-543275C745A1}"/>
    <cellStyle name="40% - Accent3 6" xfId="2754" xr:uid="{21AF28A2-CACF-40A8-82F4-B834F7AFBAF0}"/>
    <cellStyle name="40% - Accent3 6 2" xfId="4983" xr:uid="{AEC89566-BA84-43C8-B5DA-DD9FBED2B1D2}"/>
    <cellStyle name="40% - Accent3 6 2 2" xfId="9201" xr:uid="{A9484C85-61AE-4E2A-8F1A-05F705569628}"/>
    <cellStyle name="40% - Accent3 6 3" xfId="7056" xr:uid="{3B6C20BE-1116-4130-99B9-165C15CA0B1D}"/>
    <cellStyle name="40% - Accent3 7" xfId="3167" xr:uid="{F8BDCB19-550D-4C11-83AC-40DC1A726041}"/>
    <cellStyle name="40% - Accent3 7 2" xfId="5396" xr:uid="{9CA7242A-541D-4496-8A05-650472825F1A}"/>
    <cellStyle name="40% - Accent3 7 2 2" xfId="9614" xr:uid="{9B24E3F9-71F7-4D91-8A2D-1C4B9C975BA9}"/>
    <cellStyle name="40% - Accent3 7 3" xfId="7469" xr:uid="{1885C6D7-773D-4A00-8619-1F9FD4475277}"/>
    <cellStyle name="40% - Accent3 8" xfId="3580" xr:uid="{472D97DC-2A9E-491B-8B9B-F775D6C70052}"/>
    <cellStyle name="40% - Accent3 8 2" xfId="5809" xr:uid="{2ADEF8BE-DBC3-428C-9BAA-567CE3E2E8E5}"/>
    <cellStyle name="40% - Accent3 8 2 2" xfId="10027" xr:uid="{6CE2C9AC-8143-4871-9981-F2A0D95FA863}"/>
    <cellStyle name="40% - Accent3 8 3" xfId="7882" xr:uid="{1630EE31-4E8A-459D-8833-E1C18C6112AE}"/>
    <cellStyle name="40% - Accent3 9" xfId="3993" xr:uid="{9F8721FA-CC5A-4655-9C1D-4DC6573879AB}"/>
    <cellStyle name="40% - Accent3 9 2" xfId="8295" xr:uid="{D20E4CEE-F9FC-4305-AA7A-D382AD52B16B}"/>
    <cellStyle name="40% - Accent4" xfId="73" builtinId="43" customBuiltin="1"/>
    <cellStyle name="40% - Accent4 10" xfId="6237" xr:uid="{F4FAD1BB-2FFF-443A-933A-F22DB8655C6A}"/>
    <cellStyle name="40% - Accent4 11" xfId="1933" xr:uid="{1FB8FFAD-582A-4A7C-8881-C4DB4FFD1F09}"/>
    <cellStyle name="40% - Accent4 12" xfId="1104" xr:uid="{903B9B2E-1514-4DF0-A9B3-DB7DAC18048B}"/>
    <cellStyle name="40% - Accent4 13" xfId="10470" xr:uid="{3827DE1F-CE0B-4CF8-8CF3-5906A45CCE2D}"/>
    <cellStyle name="40% - Accent4 2" xfId="74" xr:uid="{00000000-0005-0000-0000-000091000000}"/>
    <cellStyle name="40% - Accent4 2 10" xfId="1934" xr:uid="{67B46661-0C5C-466D-893A-21E0580CCB4B}"/>
    <cellStyle name="40% - Accent4 2 11" xfId="1105" xr:uid="{0BBF4398-2635-480D-B2E1-99D5266D9E7F}"/>
    <cellStyle name="40% - Accent4 2 12" xfId="10471" xr:uid="{F52BB78B-22BB-478B-A0D9-78AAD73A037E}"/>
    <cellStyle name="40% - Accent4 2 2" xfId="75" xr:uid="{00000000-0005-0000-0000-000092000000}"/>
    <cellStyle name="40% - Accent4 2 2 10" xfId="1106" xr:uid="{A5F47E5A-30DA-4D88-ABD2-EF42849B9D2E}"/>
    <cellStyle name="40% - Accent4 2 2 11" xfId="10472" xr:uid="{856540BD-5D82-4F7B-89D4-CDD6B8AD7A4E}"/>
    <cellStyle name="40% - Accent4 2 2 2" xfId="76" xr:uid="{00000000-0005-0000-0000-000093000000}"/>
    <cellStyle name="40% - Accent4 2 2 2 10" xfId="10473" xr:uid="{E22D03AD-B96B-4A7D-AEED-3F3D6B3D6E03}"/>
    <cellStyle name="40% - Accent4 2 2 2 2" xfId="653" xr:uid="{00000000-0005-0000-0000-000094000000}"/>
    <cellStyle name="40% - Accent4 2 2 2 2 2" xfId="4581" xr:uid="{68661D38-1975-4401-AF4F-5159B684262B}"/>
    <cellStyle name="40% - Accent4 2 2 2 2 2 2" xfId="8799" xr:uid="{82DC52BE-20C8-4055-8F50-56B9E7B2B152}"/>
    <cellStyle name="40% - Accent4 2 2 2 2 3" xfId="6654" xr:uid="{0347E01D-3B89-4B82-9FFA-260A6557AA90}"/>
    <cellStyle name="40% - Accent4 2 2 2 2 4" xfId="2350" xr:uid="{357D7B35-DBA3-4D08-B3B1-4D071F2D3581}"/>
    <cellStyle name="40% - Accent4 2 2 2 2 5" xfId="1523" xr:uid="{EF0D5C36-4A1F-47C3-9E3F-8D75587D2B4B}"/>
    <cellStyle name="40% - Accent4 2 2 2 2 6" xfId="10889" xr:uid="{A133EE77-6DF8-4F12-98C5-336C4534D628}"/>
    <cellStyle name="40% - Accent4 2 2 2 3" xfId="2765" xr:uid="{DAA564EB-FB55-43AC-BDC7-DC10AD7C31E1}"/>
    <cellStyle name="40% - Accent4 2 2 2 3 2" xfId="4994" xr:uid="{0DEF2FD8-66D1-4268-8AAE-2C2AEDA8623A}"/>
    <cellStyle name="40% - Accent4 2 2 2 3 2 2" xfId="9212" xr:uid="{8C5C8FBC-454B-4AC0-B368-034EFE6E35F1}"/>
    <cellStyle name="40% - Accent4 2 2 2 3 3" xfId="7067" xr:uid="{9F8BCF02-00BE-4830-9E46-377892D77643}"/>
    <cellStyle name="40% - Accent4 2 2 2 4" xfId="3178" xr:uid="{1718C8B7-9DC3-4433-B363-59498C6A11F8}"/>
    <cellStyle name="40% - Accent4 2 2 2 4 2" xfId="5407" xr:uid="{D3A56A64-72EF-4E14-9546-672025147754}"/>
    <cellStyle name="40% - Accent4 2 2 2 4 2 2" xfId="9625" xr:uid="{38828106-722F-4F1E-8D39-8757A8877AF6}"/>
    <cellStyle name="40% - Accent4 2 2 2 4 3" xfId="7480" xr:uid="{18B4D2D2-C97C-4EB4-9FA7-BBB74608C0F1}"/>
    <cellStyle name="40% - Accent4 2 2 2 5" xfId="3591" xr:uid="{1441A356-8A8C-429C-A55F-D67F7F65DDEB}"/>
    <cellStyle name="40% - Accent4 2 2 2 5 2" xfId="5820" xr:uid="{4A6F94D1-4F05-44BB-A8C9-C7FF8A942C2E}"/>
    <cellStyle name="40% - Accent4 2 2 2 5 2 2" xfId="10038" xr:uid="{28BB8100-9E12-4916-8B64-297DB699D0D8}"/>
    <cellStyle name="40% - Accent4 2 2 2 5 3" xfId="7893" xr:uid="{6F627BF1-54C4-44C4-AB35-651FD3AD6FCB}"/>
    <cellStyle name="40% - Accent4 2 2 2 6" xfId="4004" xr:uid="{EF03B19E-C9AA-4128-A6F2-ACB8BFB232CE}"/>
    <cellStyle name="40% - Accent4 2 2 2 6 2" xfId="8306" xr:uid="{68742311-47E4-4FBE-8376-CC254D32A2E0}"/>
    <cellStyle name="40% - Accent4 2 2 2 7" xfId="6240" xr:uid="{7411A0EF-187A-4C44-A721-722DD5F176AD}"/>
    <cellStyle name="40% - Accent4 2 2 2 8" xfId="1936" xr:uid="{4CF83683-7E84-42B8-B523-1B92FDC75D86}"/>
    <cellStyle name="40% - Accent4 2 2 2 9" xfId="1107" xr:uid="{93C267D5-3C7F-438A-A880-443E82C9B589}"/>
    <cellStyle name="40% - Accent4 2 2 3" xfId="652" xr:uid="{00000000-0005-0000-0000-000095000000}"/>
    <cellStyle name="40% - Accent4 2 2 3 2" xfId="4580" xr:uid="{66B934AF-379C-4231-BCA3-673ED6B1313E}"/>
    <cellStyle name="40% - Accent4 2 2 3 2 2" xfId="8798" xr:uid="{0419DE58-7E3F-44EC-BD80-EF01CAEE6D2C}"/>
    <cellStyle name="40% - Accent4 2 2 3 3" xfId="6653" xr:uid="{D18051E2-8158-4B45-BA48-D4D876BC82E4}"/>
    <cellStyle name="40% - Accent4 2 2 3 4" xfId="2349" xr:uid="{90EB6E22-8EA6-4A0B-A08B-DDAAD89ED4E3}"/>
    <cellStyle name="40% - Accent4 2 2 3 5" xfId="1522" xr:uid="{66B7F8BA-8DE8-41CB-9657-FDD2F6E5CD7B}"/>
    <cellStyle name="40% - Accent4 2 2 3 6" xfId="10888" xr:uid="{37DAA872-D812-414F-BE59-697D4F84D5F7}"/>
    <cellStyle name="40% - Accent4 2 2 4" xfId="2764" xr:uid="{E6CCF549-E185-49DA-B0DD-10FC3B540C68}"/>
    <cellStyle name="40% - Accent4 2 2 4 2" xfId="4993" xr:uid="{E7123AB8-A7CC-4323-88C6-673E7773D5ED}"/>
    <cellStyle name="40% - Accent4 2 2 4 2 2" xfId="9211" xr:uid="{14730A43-EE65-48A6-99C5-4E2DF9F6E136}"/>
    <cellStyle name="40% - Accent4 2 2 4 3" xfId="7066" xr:uid="{1F490327-B147-48DA-9878-2531BDEC68C0}"/>
    <cellStyle name="40% - Accent4 2 2 5" xfId="3177" xr:uid="{ACEB164D-1143-47BB-9F87-1245306887F4}"/>
    <cellStyle name="40% - Accent4 2 2 5 2" xfId="5406" xr:uid="{A90DC89D-A482-48FB-9616-606ED08CFD27}"/>
    <cellStyle name="40% - Accent4 2 2 5 2 2" xfId="9624" xr:uid="{7BB016EE-0E45-463A-938F-EFAF9C4D1E91}"/>
    <cellStyle name="40% - Accent4 2 2 5 3" xfId="7479" xr:uid="{DFEE114B-F352-48E5-8461-5A0CCCEA8F21}"/>
    <cellStyle name="40% - Accent4 2 2 6" xfId="3590" xr:uid="{5C8A0D34-050D-449C-8151-6511381DB021}"/>
    <cellStyle name="40% - Accent4 2 2 6 2" xfId="5819" xr:uid="{834AF7E7-40C9-40D8-A4A9-E34732E0D117}"/>
    <cellStyle name="40% - Accent4 2 2 6 2 2" xfId="10037" xr:uid="{F5393F50-DC74-4474-967A-7FCB11CA8073}"/>
    <cellStyle name="40% - Accent4 2 2 6 3" xfId="7892" xr:uid="{FC8E59BD-F577-404F-8D05-32C2B4DFDEB2}"/>
    <cellStyle name="40% - Accent4 2 2 7" xfId="4003" xr:uid="{E61EE08D-5297-4CC6-B85C-9953C91C5823}"/>
    <cellStyle name="40% - Accent4 2 2 7 2" xfId="8305" xr:uid="{EC41A0C0-C82D-4130-9EC3-283CB6D10609}"/>
    <cellStyle name="40% - Accent4 2 2 8" xfId="6239" xr:uid="{AD028991-0A01-4FA2-AA97-CD5EE35A38EF}"/>
    <cellStyle name="40% - Accent4 2 2 9" xfId="1935" xr:uid="{CD273983-A238-4255-8714-ABE566646AE7}"/>
    <cellStyle name="40% - Accent4 2 3" xfId="77" xr:uid="{00000000-0005-0000-0000-000096000000}"/>
    <cellStyle name="40% - Accent4 2 3 10" xfId="10474" xr:uid="{232B9CD6-8F4D-46A1-B569-5F8AC1C3BF61}"/>
    <cellStyle name="40% - Accent4 2 3 2" xfId="654" xr:uid="{00000000-0005-0000-0000-000097000000}"/>
    <cellStyle name="40% - Accent4 2 3 2 2" xfId="4582" xr:uid="{7448DFE4-0F86-4F5F-9C38-0F8E53736730}"/>
    <cellStyle name="40% - Accent4 2 3 2 2 2" xfId="8800" xr:uid="{D89EC1E9-741D-496A-A9DB-7B9147350245}"/>
    <cellStyle name="40% - Accent4 2 3 2 3" xfId="6655" xr:uid="{6C55FDC6-C1CD-4B68-A8B9-F53950136F37}"/>
    <cellStyle name="40% - Accent4 2 3 2 4" xfId="2351" xr:uid="{6F82D6F6-88C5-4C89-BA5D-783FB543A983}"/>
    <cellStyle name="40% - Accent4 2 3 2 5" xfId="1524" xr:uid="{F3922AF3-4A9C-4A90-ACBC-B8C371E9F1D7}"/>
    <cellStyle name="40% - Accent4 2 3 2 6" xfId="10890" xr:uid="{9058F761-8FCE-41B9-9720-F321BA437D19}"/>
    <cellStyle name="40% - Accent4 2 3 3" xfId="2766" xr:uid="{1476E648-0104-40AB-BD65-AC2ED2D2AAF6}"/>
    <cellStyle name="40% - Accent4 2 3 3 2" xfId="4995" xr:uid="{F28AAA12-D3E1-42B9-A01D-37E1757ACB0D}"/>
    <cellStyle name="40% - Accent4 2 3 3 2 2" xfId="9213" xr:uid="{51D660E6-54CE-4A35-A995-01D5EFBD6544}"/>
    <cellStyle name="40% - Accent4 2 3 3 3" xfId="7068" xr:uid="{C979D8D8-E42C-4521-8FA4-0CB5C752D4AF}"/>
    <cellStyle name="40% - Accent4 2 3 4" xfId="3179" xr:uid="{E17B4ABD-7C92-4AB0-97A5-5A42C2FDF629}"/>
    <cellStyle name="40% - Accent4 2 3 4 2" xfId="5408" xr:uid="{E8D5F898-7AA1-4D04-BA1F-B982453F5DA9}"/>
    <cellStyle name="40% - Accent4 2 3 4 2 2" xfId="9626" xr:uid="{83982EA7-E3EA-4559-BF28-E3634C3D6FAA}"/>
    <cellStyle name="40% - Accent4 2 3 4 3" xfId="7481" xr:uid="{17AA30BD-1E7F-47EE-9A9D-7A74FC4DFEE8}"/>
    <cellStyle name="40% - Accent4 2 3 5" xfId="3592" xr:uid="{E31D8B5C-EFC8-4FF4-829E-B934E6946CE4}"/>
    <cellStyle name="40% - Accent4 2 3 5 2" xfId="5821" xr:uid="{75B30FC5-52DE-40B7-AA15-2D089FBDFDB9}"/>
    <cellStyle name="40% - Accent4 2 3 5 2 2" xfId="10039" xr:uid="{3E33382C-BA5D-4EE8-A3A2-5560DC3B86EC}"/>
    <cellStyle name="40% - Accent4 2 3 5 3" xfId="7894" xr:uid="{12630F1E-5A6C-434A-8FF4-F9BC1678487B}"/>
    <cellStyle name="40% - Accent4 2 3 6" xfId="4005" xr:uid="{665A0404-8D51-4253-8A0C-5FB2EB6F8402}"/>
    <cellStyle name="40% - Accent4 2 3 6 2" xfId="8307" xr:uid="{B09147C7-02F7-4344-B3D4-82CDF468B78F}"/>
    <cellStyle name="40% - Accent4 2 3 7" xfId="6241" xr:uid="{8947E2C1-7522-4F92-9062-B6694D70371E}"/>
    <cellStyle name="40% - Accent4 2 3 8" xfId="1937" xr:uid="{A68E6DB4-2CDD-4909-A113-FBEA3121D420}"/>
    <cellStyle name="40% - Accent4 2 3 9" xfId="1108" xr:uid="{40F94CAE-C728-42B1-9622-B56B75B95824}"/>
    <cellStyle name="40% - Accent4 2 4" xfId="651" xr:uid="{00000000-0005-0000-0000-000098000000}"/>
    <cellStyle name="40% - Accent4 2 4 2" xfId="4579" xr:uid="{EE364542-8432-43D5-9885-9B987EB84B3C}"/>
    <cellStyle name="40% - Accent4 2 4 2 2" xfId="8797" xr:uid="{8F3396C8-2B73-49FD-9CB4-97C4F2EFC7A4}"/>
    <cellStyle name="40% - Accent4 2 4 3" xfId="6652" xr:uid="{41DEA705-E0B5-4300-8950-5BC0EBBCE08D}"/>
    <cellStyle name="40% - Accent4 2 4 4" xfId="2348" xr:uid="{E05C4982-BE88-4EB0-9F71-E91D1E3624A1}"/>
    <cellStyle name="40% - Accent4 2 4 5" xfId="1521" xr:uid="{51BF61DB-7BF6-4E9C-B145-5B5C29154857}"/>
    <cellStyle name="40% - Accent4 2 4 6" xfId="10887" xr:uid="{5C4E115B-B732-4856-8CB4-FC545495D03D}"/>
    <cellStyle name="40% - Accent4 2 5" xfId="2763" xr:uid="{B625A66E-F181-4837-B146-F449984B48DF}"/>
    <cellStyle name="40% - Accent4 2 5 2" xfId="4992" xr:uid="{133F8E98-111D-4F75-84F1-61EF2D9D904B}"/>
    <cellStyle name="40% - Accent4 2 5 2 2" xfId="9210" xr:uid="{F8DC8F84-98C4-4907-8953-17BC35312BFC}"/>
    <cellStyle name="40% - Accent4 2 5 3" xfId="7065" xr:uid="{8E12173C-C445-4FAB-A08A-E4205BEE96BA}"/>
    <cellStyle name="40% - Accent4 2 6" xfId="3176" xr:uid="{6457A98F-403F-44A6-AF96-6E3D37813A5F}"/>
    <cellStyle name="40% - Accent4 2 6 2" xfId="5405" xr:uid="{5467D51D-AFFF-458B-8F57-9ECFA1E8DC18}"/>
    <cellStyle name="40% - Accent4 2 6 2 2" xfId="9623" xr:uid="{3069B69A-0E99-4218-8F90-9494E94AA189}"/>
    <cellStyle name="40% - Accent4 2 6 3" xfId="7478" xr:uid="{CE763B18-B52B-4304-93FA-359E22DAC698}"/>
    <cellStyle name="40% - Accent4 2 7" xfId="3589" xr:uid="{33EC1E02-2E01-4ACE-BF47-682CDD83DBF6}"/>
    <cellStyle name="40% - Accent4 2 7 2" xfId="5818" xr:uid="{FC615AA4-6C1A-415F-A6F5-90073533409F}"/>
    <cellStyle name="40% - Accent4 2 7 2 2" xfId="10036" xr:uid="{7730BD0C-0004-4947-9CD8-72C6843C4342}"/>
    <cellStyle name="40% - Accent4 2 7 3" xfId="7891" xr:uid="{835504EF-3294-4649-B24E-83D12104394F}"/>
    <cellStyle name="40% - Accent4 2 8" xfId="4002" xr:uid="{41CB2E84-F927-4A7C-BD25-413983F0D1F6}"/>
    <cellStyle name="40% - Accent4 2 8 2" xfId="8304" xr:uid="{9E28D718-2AB0-4CDB-B11F-9019F9B6B3FB}"/>
    <cellStyle name="40% - Accent4 2 9" xfId="6238" xr:uid="{47E4AC86-1435-418C-81DC-F3D47002F004}"/>
    <cellStyle name="40% - Accent4 3" xfId="78" xr:uid="{00000000-0005-0000-0000-000099000000}"/>
    <cellStyle name="40% - Accent4 3 10" xfId="1109" xr:uid="{3101F053-5D6B-467A-B88A-FEDE0207C5E5}"/>
    <cellStyle name="40% - Accent4 3 11" xfId="10475" xr:uid="{15F20B1F-7E7A-488E-ABB5-51057497B105}"/>
    <cellStyle name="40% - Accent4 3 2" xfId="79" xr:uid="{00000000-0005-0000-0000-00009A000000}"/>
    <cellStyle name="40% - Accent4 3 2 10" xfId="10476" xr:uid="{1E7CAC78-2D25-47BB-B42F-05FA9624F45B}"/>
    <cellStyle name="40% - Accent4 3 2 2" xfId="656" xr:uid="{00000000-0005-0000-0000-00009B000000}"/>
    <cellStyle name="40% - Accent4 3 2 2 2" xfId="4584" xr:uid="{7F48C86F-DBAD-4230-A47E-06E4C87B20EB}"/>
    <cellStyle name="40% - Accent4 3 2 2 2 2" xfId="8802" xr:uid="{B8856314-E691-431C-A4F6-FD215751B87C}"/>
    <cellStyle name="40% - Accent4 3 2 2 3" xfId="6657" xr:uid="{CD378A2A-A682-4410-BFDA-3BE7A8FC43E9}"/>
    <cellStyle name="40% - Accent4 3 2 2 4" xfId="2353" xr:uid="{9C018E66-93AA-4731-86CB-AC37EC728007}"/>
    <cellStyle name="40% - Accent4 3 2 2 5" xfId="1526" xr:uid="{12BE3BBA-DBCB-424F-AD2A-76184805288E}"/>
    <cellStyle name="40% - Accent4 3 2 2 6" xfId="10892" xr:uid="{1BD4A7BE-B4FF-4E11-9E2C-F8EFFB39FEC1}"/>
    <cellStyle name="40% - Accent4 3 2 3" xfId="2768" xr:uid="{4248D049-F08C-46E0-A9BB-4676512C8A88}"/>
    <cellStyle name="40% - Accent4 3 2 3 2" xfId="4997" xr:uid="{7C58842B-E36F-4D4B-B68E-16EB6B779006}"/>
    <cellStyle name="40% - Accent4 3 2 3 2 2" xfId="9215" xr:uid="{153588DF-768D-4932-A9FA-38DFFCB8A0BB}"/>
    <cellStyle name="40% - Accent4 3 2 3 3" xfId="7070" xr:uid="{F8E24624-922C-4199-9377-292017A1450D}"/>
    <cellStyle name="40% - Accent4 3 2 4" xfId="3181" xr:uid="{5510E452-8C57-43EF-9DE4-724FCDCEB25B}"/>
    <cellStyle name="40% - Accent4 3 2 4 2" xfId="5410" xr:uid="{697DEE11-75FF-4093-9EFC-ACC3BB064DE2}"/>
    <cellStyle name="40% - Accent4 3 2 4 2 2" xfId="9628" xr:uid="{69755E8F-A665-477E-A29D-FD0CE1CBCCA1}"/>
    <cellStyle name="40% - Accent4 3 2 4 3" xfId="7483" xr:uid="{A52E1504-DE35-4D9F-8629-E7DB1DF8918F}"/>
    <cellStyle name="40% - Accent4 3 2 5" xfId="3594" xr:uid="{B4EBC3F0-9DEF-43C8-B667-A04F78634812}"/>
    <cellStyle name="40% - Accent4 3 2 5 2" xfId="5823" xr:uid="{2C52EF81-6C81-4635-89AD-B94F9D8ADC6F}"/>
    <cellStyle name="40% - Accent4 3 2 5 2 2" xfId="10041" xr:uid="{D62BA2CE-7DE0-46D3-B337-761D3EBD9662}"/>
    <cellStyle name="40% - Accent4 3 2 5 3" xfId="7896" xr:uid="{13FD88C5-CCDC-436A-91FE-54D846323816}"/>
    <cellStyle name="40% - Accent4 3 2 6" xfId="4007" xr:uid="{38F29AC0-B71A-4915-8F4B-5E687972E127}"/>
    <cellStyle name="40% - Accent4 3 2 6 2" xfId="8309" xr:uid="{EDBB75E3-BD2C-44F8-B6CB-842DD9ED55C7}"/>
    <cellStyle name="40% - Accent4 3 2 7" xfId="6243" xr:uid="{0728F4FB-20ED-415D-AF23-9AD4C6FB1847}"/>
    <cellStyle name="40% - Accent4 3 2 8" xfId="1939" xr:uid="{4DD19715-A507-4E68-B4BB-8F64F6613B7A}"/>
    <cellStyle name="40% - Accent4 3 2 9" xfId="1110" xr:uid="{1D65781A-B059-444A-91F8-94721FC24261}"/>
    <cellStyle name="40% - Accent4 3 3" xfId="655" xr:uid="{00000000-0005-0000-0000-00009C000000}"/>
    <cellStyle name="40% - Accent4 3 3 2" xfId="4583" xr:uid="{D46269B8-6395-4E5D-8818-94EA2E0C4BF3}"/>
    <cellStyle name="40% - Accent4 3 3 2 2" xfId="8801" xr:uid="{E6DD29E2-0E5F-4191-9DDF-66FCC367CCFE}"/>
    <cellStyle name="40% - Accent4 3 3 3" xfId="6656" xr:uid="{83FC0906-4B5A-4523-81E3-66BC32D7669C}"/>
    <cellStyle name="40% - Accent4 3 3 4" xfId="2352" xr:uid="{A2F2D4E6-7D5C-4917-BD7A-2E01F0CD65DF}"/>
    <cellStyle name="40% - Accent4 3 3 5" xfId="1525" xr:uid="{33D68030-3E96-4444-9DAB-7FCDAEA51D60}"/>
    <cellStyle name="40% - Accent4 3 3 6" xfId="10891" xr:uid="{EA95C29B-A0EF-43A7-91F5-2CAAF5C621F4}"/>
    <cellStyle name="40% - Accent4 3 4" xfId="2767" xr:uid="{ACEDEA57-0A17-439F-AAB0-4BE7228A988B}"/>
    <cellStyle name="40% - Accent4 3 4 2" xfId="4996" xr:uid="{002304E9-BDF2-4983-9511-E9C801CBB1BB}"/>
    <cellStyle name="40% - Accent4 3 4 2 2" xfId="9214" xr:uid="{0FD0DD23-55E5-4A20-9A2E-A8D8E4F8F63D}"/>
    <cellStyle name="40% - Accent4 3 4 3" xfId="7069" xr:uid="{B582A59F-5BE1-4985-BAF3-DBDA1A19C3B9}"/>
    <cellStyle name="40% - Accent4 3 5" xfId="3180" xr:uid="{19EA3F1C-7E85-423F-A535-3DFC26609A24}"/>
    <cellStyle name="40% - Accent4 3 5 2" xfId="5409" xr:uid="{CCA1FA24-74AB-4CE3-8F85-44E7291FB51A}"/>
    <cellStyle name="40% - Accent4 3 5 2 2" xfId="9627" xr:uid="{EB4B6A27-7B07-4827-AE7D-0C00BB0EF310}"/>
    <cellStyle name="40% - Accent4 3 5 3" xfId="7482" xr:uid="{0655231D-6725-4E71-BCE9-CBA606DA7470}"/>
    <cellStyle name="40% - Accent4 3 6" xfId="3593" xr:uid="{09AAA7AF-914E-4C81-8E1E-8D194B0F605C}"/>
    <cellStyle name="40% - Accent4 3 6 2" xfId="5822" xr:uid="{7E271D24-5C7E-465B-BAEA-3CE156C12D00}"/>
    <cellStyle name="40% - Accent4 3 6 2 2" xfId="10040" xr:uid="{4ACF3CF7-FB05-4A60-837E-FE43CC0A7BF5}"/>
    <cellStyle name="40% - Accent4 3 6 3" xfId="7895" xr:uid="{DFA36283-118B-4911-9621-CE2B7E47353C}"/>
    <cellStyle name="40% - Accent4 3 7" xfId="4006" xr:uid="{37FBF14D-FCE5-44E3-B1C3-D642E1075CCF}"/>
    <cellStyle name="40% - Accent4 3 7 2" xfId="8308" xr:uid="{D2274534-1D92-4BA9-9882-04F7F49D8967}"/>
    <cellStyle name="40% - Accent4 3 8" xfId="6242" xr:uid="{1FA34BC5-4D80-4298-8F90-3B173FAC3C13}"/>
    <cellStyle name="40% - Accent4 3 9" xfId="1938" xr:uid="{3D92BAFE-B03F-4ACB-9561-9537B76EFBBD}"/>
    <cellStyle name="40% - Accent4 4" xfId="80" xr:uid="{00000000-0005-0000-0000-00009D000000}"/>
    <cellStyle name="40% - Accent4 4 10" xfId="10477" xr:uid="{2D574B84-60F0-4521-B388-EF7FC0B38F6B}"/>
    <cellStyle name="40% - Accent4 4 2" xfId="657" xr:uid="{00000000-0005-0000-0000-00009E000000}"/>
    <cellStyle name="40% - Accent4 4 2 2" xfId="4585" xr:uid="{F62B8DB2-5083-4DDC-8D55-7DA1665626CA}"/>
    <cellStyle name="40% - Accent4 4 2 2 2" xfId="8803" xr:uid="{3250FC83-B652-4257-9452-6D6974DEEEA6}"/>
    <cellStyle name="40% - Accent4 4 2 3" xfId="6658" xr:uid="{CACA87A1-7794-41BB-B9DF-674713D53E9A}"/>
    <cellStyle name="40% - Accent4 4 2 4" xfId="2354" xr:uid="{2716CBFA-4610-4BC6-AC3D-C0D84260214B}"/>
    <cellStyle name="40% - Accent4 4 2 5" xfId="1527" xr:uid="{F22DBD03-7DC5-4E4C-BE36-84C2B3E978CF}"/>
    <cellStyle name="40% - Accent4 4 2 6" xfId="10893" xr:uid="{3D99E6B3-2BB5-4503-B554-E5DC074F6846}"/>
    <cellStyle name="40% - Accent4 4 3" xfId="2769" xr:uid="{879681FF-E759-4BF3-8D43-8AF5C43589F3}"/>
    <cellStyle name="40% - Accent4 4 3 2" xfId="4998" xr:uid="{DB639F42-B71D-4A90-B13F-CC60C71F7558}"/>
    <cellStyle name="40% - Accent4 4 3 2 2" xfId="9216" xr:uid="{A504AFFA-6393-4E9E-A6DB-968700BF5D54}"/>
    <cellStyle name="40% - Accent4 4 3 3" xfId="7071" xr:uid="{5A13F427-2AFA-4602-A390-1FA49647B80E}"/>
    <cellStyle name="40% - Accent4 4 4" xfId="3182" xr:uid="{13165853-2713-437C-A4CE-D2571FE8BB34}"/>
    <cellStyle name="40% - Accent4 4 4 2" xfId="5411" xr:uid="{6EF3B8BB-17FD-4C78-A4F0-BFD24A9A133D}"/>
    <cellStyle name="40% - Accent4 4 4 2 2" xfId="9629" xr:uid="{871614AD-91C3-4B6F-BB24-1B3A6D18F142}"/>
    <cellStyle name="40% - Accent4 4 4 3" xfId="7484" xr:uid="{BA70AD53-E5A4-414E-BE00-8878DA23C0C2}"/>
    <cellStyle name="40% - Accent4 4 5" xfId="3595" xr:uid="{461C2621-C42D-44EE-8009-B6266E44E2F5}"/>
    <cellStyle name="40% - Accent4 4 5 2" xfId="5824" xr:uid="{06207F66-D1FB-42D5-A158-7693F4703C4C}"/>
    <cellStyle name="40% - Accent4 4 5 2 2" xfId="10042" xr:uid="{E84DF42B-3776-4516-908A-361852EB9ABD}"/>
    <cellStyle name="40% - Accent4 4 5 3" xfId="7897" xr:uid="{BAF27AAE-400D-456A-B5C5-AB863F5E2811}"/>
    <cellStyle name="40% - Accent4 4 6" xfId="4008" xr:uid="{560D3090-8168-4320-8396-C50FED07A375}"/>
    <cellStyle name="40% - Accent4 4 6 2" xfId="8310" xr:uid="{B1C75778-2CFD-4C57-AE59-C2B72DF89665}"/>
    <cellStyle name="40% - Accent4 4 7" xfId="6244" xr:uid="{A7966382-7FE8-454F-B15A-2C2419603089}"/>
    <cellStyle name="40% - Accent4 4 8" xfId="1940" xr:uid="{995C90DE-52F1-4185-8D65-E588221D3AB9}"/>
    <cellStyle name="40% - Accent4 4 9" xfId="1111" xr:uid="{48E0F959-C8EF-4D1D-A4CA-C0CBE08E5AF0}"/>
    <cellStyle name="40% - Accent4 5" xfId="650" xr:uid="{00000000-0005-0000-0000-00009F000000}"/>
    <cellStyle name="40% - Accent4 5 2" xfId="4578" xr:uid="{743351EA-099C-4301-BDD0-8F76B4679670}"/>
    <cellStyle name="40% - Accent4 5 2 2" xfId="8796" xr:uid="{71CB90A0-5805-4823-A085-FD7E7F37717B}"/>
    <cellStyle name="40% - Accent4 5 3" xfId="6651" xr:uid="{EB0E97F9-22D3-4A8A-AE64-40C21487C173}"/>
    <cellStyle name="40% - Accent4 5 4" xfId="2347" xr:uid="{BBC006E9-F615-46F3-A52E-B5F0024D35AE}"/>
    <cellStyle name="40% - Accent4 5 5" xfId="1520" xr:uid="{26B88297-C3C8-4D5C-A980-2D92AAA737D5}"/>
    <cellStyle name="40% - Accent4 5 6" xfId="10886" xr:uid="{E0E1BD89-8C4B-4911-A53C-C687F01AE819}"/>
    <cellStyle name="40% - Accent4 6" xfId="2762" xr:uid="{B1DAAF88-8E57-4B56-B6D5-D701F2434C9E}"/>
    <cellStyle name="40% - Accent4 6 2" xfId="4991" xr:uid="{3AD018E1-76B3-4005-B7FE-9DC75A7F3EFF}"/>
    <cellStyle name="40% - Accent4 6 2 2" xfId="9209" xr:uid="{D3DE2B10-2EDA-467D-AE94-5BBD15E0F7D5}"/>
    <cellStyle name="40% - Accent4 6 3" xfId="7064" xr:uid="{4CF71BAB-ED62-4B1A-A842-A120EBB3912C}"/>
    <cellStyle name="40% - Accent4 7" xfId="3175" xr:uid="{0BD56F52-3641-4E3D-BE1E-931F067979E9}"/>
    <cellStyle name="40% - Accent4 7 2" xfId="5404" xr:uid="{1B5AD099-2953-4A9C-806B-26672FD54721}"/>
    <cellStyle name="40% - Accent4 7 2 2" xfId="9622" xr:uid="{E6354F5E-0591-4DDB-B3E0-E0A729FB4E90}"/>
    <cellStyle name="40% - Accent4 7 3" xfId="7477" xr:uid="{91439BD8-D42E-4386-942E-AE22D0B2F9E8}"/>
    <cellStyle name="40% - Accent4 8" xfId="3588" xr:uid="{2CD23A90-C3C8-4CE6-B6AA-E56F5470B636}"/>
    <cellStyle name="40% - Accent4 8 2" xfId="5817" xr:uid="{B8A6C890-006F-4771-AD05-B933CAABD413}"/>
    <cellStyle name="40% - Accent4 8 2 2" xfId="10035" xr:uid="{195F2B60-8D8E-47F2-AC0B-8C80A27EA96C}"/>
    <cellStyle name="40% - Accent4 8 3" xfId="7890" xr:uid="{8AC97B18-DC44-4497-A506-FBA278D0A455}"/>
    <cellStyle name="40% - Accent4 9" xfId="4001" xr:uid="{25FFB9AA-3D24-40D5-BFD3-61BAD4875787}"/>
    <cellStyle name="40% - Accent4 9 2" xfId="8303" xr:uid="{C8CBCEC8-688B-4E87-A59E-87119383B091}"/>
    <cellStyle name="40% - Accent5" xfId="81" builtinId="47" customBuiltin="1"/>
    <cellStyle name="40% - Accent5 10" xfId="6245" xr:uid="{7B694395-641A-49AF-9F36-4955B9F2C4EA}"/>
    <cellStyle name="40% - Accent5 11" xfId="1941" xr:uid="{4603EAFC-67D9-456D-822D-DF365B996F75}"/>
    <cellStyle name="40% - Accent5 12" xfId="1112" xr:uid="{877B51C1-3244-4E72-9DB0-D8E297C4009D}"/>
    <cellStyle name="40% - Accent5 13" xfId="10478" xr:uid="{C9AFB725-8A40-464F-94D9-AAC671650BB0}"/>
    <cellStyle name="40% - Accent5 2" xfId="82" xr:uid="{00000000-0005-0000-0000-0000A1000000}"/>
    <cellStyle name="40% - Accent5 2 10" xfId="1942" xr:uid="{CBF3725C-E4B0-4EDB-9299-4A0017A5C983}"/>
    <cellStyle name="40% - Accent5 2 11" xfId="1113" xr:uid="{AD86FA08-7B6D-4470-9898-22FE122E581B}"/>
    <cellStyle name="40% - Accent5 2 12" xfId="10479" xr:uid="{ADEC4FAB-B77C-41A4-9086-C04D288E3A4B}"/>
    <cellStyle name="40% - Accent5 2 2" xfId="83" xr:uid="{00000000-0005-0000-0000-0000A2000000}"/>
    <cellStyle name="40% - Accent5 2 2 10" xfId="1114" xr:uid="{A6C92AD8-FF9D-4FD9-A7A3-DC34C1338304}"/>
    <cellStyle name="40% - Accent5 2 2 11" xfId="10480" xr:uid="{59C91E7D-492E-4C9D-AC17-3701AEFDFF63}"/>
    <cellStyle name="40% - Accent5 2 2 2" xfId="84" xr:uid="{00000000-0005-0000-0000-0000A3000000}"/>
    <cellStyle name="40% - Accent5 2 2 2 10" xfId="10481" xr:uid="{960697E5-2D98-4C1D-A9D8-63F9CE98A58F}"/>
    <cellStyle name="40% - Accent5 2 2 2 2" xfId="661" xr:uid="{00000000-0005-0000-0000-0000A4000000}"/>
    <cellStyle name="40% - Accent5 2 2 2 2 2" xfId="4589" xr:uid="{1F4E5524-FE9C-446D-AC58-D7840E917A90}"/>
    <cellStyle name="40% - Accent5 2 2 2 2 2 2" xfId="8807" xr:uid="{58E8DF5B-4DD8-4B2B-BD8F-73490D6386F1}"/>
    <cellStyle name="40% - Accent5 2 2 2 2 3" xfId="6662" xr:uid="{28C59EBF-15D8-4A3E-9572-B14835BBA658}"/>
    <cellStyle name="40% - Accent5 2 2 2 2 4" xfId="2358" xr:uid="{CECE53DD-21FA-4C1B-AAC6-4B5BA48867EE}"/>
    <cellStyle name="40% - Accent5 2 2 2 2 5" xfId="1531" xr:uid="{E62B3640-C5D4-42FB-B331-AC4D6B85274B}"/>
    <cellStyle name="40% - Accent5 2 2 2 2 6" xfId="10897" xr:uid="{8C7CE86E-84A4-4D30-A429-285AF85619FB}"/>
    <cellStyle name="40% - Accent5 2 2 2 3" xfId="2773" xr:uid="{A9B0EF01-C5D0-4508-A578-CD6C2014230B}"/>
    <cellStyle name="40% - Accent5 2 2 2 3 2" xfId="5002" xr:uid="{A4B6F822-688D-4794-86C8-0BF0238DEB99}"/>
    <cellStyle name="40% - Accent5 2 2 2 3 2 2" xfId="9220" xr:uid="{E04FEADC-3090-4BBF-A608-21EB84E0F8A8}"/>
    <cellStyle name="40% - Accent5 2 2 2 3 3" xfId="7075" xr:uid="{1D2A3F7A-B3B8-4F94-BA19-7BFC07EC5460}"/>
    <cellStyle name="40% - Accent5 2 2 2 4" xfId="3186" xr:uid="{67BD5462-1882-4DE1-AA00-0453B41D6ED0}"/>
    <cellStyle name="40% - Accent5 2 2 2 4 2" xfId="5415" xr:uid="{03754DE3-2FA3-4E71-9A40-38C0EFF411FF}"/>
    <cellStyle name="40% - Accent5 2 2 2 4 2 2" xfId="9633" xr:uid="{E5B7C948-89A0-4545-8C57-51FFDD36188E}"/>
    <cellStyle name="40% - Accent5 2 2 2 4 3" xfId="7488" xr:uid="{599BD95B-FD0F-49BC-834D-EB1A32348934}"/>
    <cellStyle name="40% - Accent5 2 2 2 5" xfId="3599" xr:uid="{CD394A69-2E8C-48D0-9696-19B4C7324A30}"/>
    <cellStyle name="40% - Accent5 2 2 2 5 2" xfId="5828" xr:uid="{9A2855D6-46BD-47F0-BF52-9449408EF909}"/>
    <cellStyle name="40% - Accent5 2 2 2 5 2 2" xfId="10046" xr:uid="{587986A1-2AA5-41F1-9343-092085990F8A}"/>
    <cellStyle name="40% - Accent5 2 2 2 5 3" xfId="7901" xr:uid="{8E2108B7-B522-490F-91AE-4F7CD2DAAEF4}"/>
    <cellStyle name="40% - Accent5 2 2 2 6" xfId="4012" xr:uid="{E758C3D7-D42D-4424-BE02-E663697B28BB}"/>
    <cellStyle name="40% - Accent5 2 2 2 6 2" xfId="8314" xr:uid="{79EAD110-4C2D-4574-BDB4-3F1142CAD10D}"/>
    <cellStyle name="40% - Accent5 2 2 2 7" xfId="6248" xr:uid="{FCB523C0-420B-4175-9F42-27F2F44624EC}"/>
    <cellStyle name="40% - Accent5 2 2 2 8" xfId="1944" xr:uid="{DF4B1BBC-0CBF-4176-B5E5-26176150362C}"/>
    <cellStyle name="40% - Accent5 2 2 2 9" xfId="1115" xr:uid="{4CAFCE81-7137-4D0B-9A1B-85743ABD1AFE}"/>
    <cellStyle name="40% - Accent5 2 2 3" xfId="660" xr:uid="{00000000-0005-0000-0000-0000A5000000}"/>
    <cellStyle name="40% - Accent5 2 2 3 2" xfId="4588" xr:uid="{02CCCA8E-EAF1-43D0-B686-FFF20C89AFEB}"/>
    <cellStyle name="40% - Accent5 2 2 3 2 2" xfId="8806" xr:uid="{CF2ADCA6-7D35-4909-8A89-45C20F91FB86}"/>
    <cellStyle name="40% - Accent5 2 2 3 3" xfId="6661" xr:uid="{848F92A0-70F3-4B11-854B-216C85921DB3}"/>
    <cellStyle name="40% - Accent5 2 2 3 4" xfId="2357" xr:uid="{3FB2C072-FC94-447E-8284-EFFA59DEB251}"/>
    <cellStyle name="40% - Accent5 2 2 3 5" xfId="1530" xr:uid="{7EF0FFFE-5D74-4AA1-AE06-5CDD3188BEB6}"/>
    <cellStyle name="40% - Accent5 2 2 3 6" xfId="10896" xr:uid="{671247D4-0BCF-4351-9BA8-D3165CDFFB7B}"/>
    <cellStyle name="40% - Accent5 2 2 4" xfId="2772" xr:uid="{4BB8094A-3219-4B13-AC29-713CEB1A9B7A}"/>
    <cellStyle name="40% - Accent5 2 2 4 2" xfId="5001" xr:uid="{FBB38244-8535-4CCC-953E-0FDD04D14F52}"/>
    <cellStyle name="40% - Accent5 2 2 4 2 2" xfId="9219" xr:uid="{D209D5E9-C627-41F7-A983-6E570EA2C44C}"/>
    <cellStyle name="40% - Accent5 2 2 4 3" xfId="7074" xr:uid="{EB062FEC-EAAC-46C5-B9BB-6DEF760543A7}"/>
    <cellStyle name="40% - Accent5 2 2 5" xfId="3185" xr:uid="{8163EB94-A14B-4D2B-8F29-C6AE562D0A5F}"/>
    <cellStyle name="40% - Accent5 2 2 5 2" xfId="5414" xr:uid="{9FA9C58A-0D94-4D09-BA09-C85CDA8DC56A}"/>
    <cellStyle name="40% - Accent5 2 2 5 2 2" xfId="9632" xr:uid="{E9DFB6E4-32A4-47ED-AE80-E2E8B233448D}"/>
    <cellStyle name="40% - Accent5 2 2 5 3" xfId="7487" xr:uid="{78997CF2-D690-4A18-9450-C0332CDCAF5B}"/>
    <cellStyle name="40% - Accent5 2 2 6" xfId="3598" xr:uid="{43516C2F-55F6-455E-A7D4-25484673164B}"/>
    <cellStyle name="40% - Accent5 2 2 6 2" xfId="5827" xr:uid="{2EB17B9D-4890-4B98-9C4B-29FBF75EC81A}"/>
    <cellStyle name="40% - Accent5 2 2 6 2 2" xfId="10045" xr:uid="{1472B31E-76A0-4FD9-B15F-F688B9AD8BEA}"/>
    <cellStyle name="40% - Accent5 2 2 6 3" xfId="7900" xr:uid="{FE28E499-B232-4515-B679-4B5A238D804B}"/>
    <cellStyle name="40% - Accent5 2 2 7" xfId="4011" xr:uid="{3083B956-EC08-40BE-8C11-1EE752B26C1D}"/>
    <cellStyle name="40% - Accent5 2 2 7 2" xfId="8313" xr:uid="{D26CA67B-B031-4FE2-8607-F4E7A78F1687}"/>
    <cellStyle name="40% - Accent5 2 2 8" xfId="6247" xr:uid="{D6BA9AFE-BAD5-47FB-869F-27A236473331}"/>
    <cellStyle name="40% - Accent5 2 2 9" xfId="1943" xr:uid="{226ECB20-5FD0-4540-9201-CC5E5E89A807}"/>
    <cellStyle name="40% - Accent5 2 3" xfId="85" xr:uid="{00000000-0005-0000-0000-0000A6000000}"/>
    <cellStyle name="40% - Accent5 2 3 10" xfId="10482" xr:uid="{FCA00D5B-6669-4055-825A-D597B3509C9C}"/>
    <cellStyle name="40% - Accent5 2 3 2" xfId="662" xr:uid="{00000000-0005-0000-0000-0000A7000000}"/>
    <cellStyle name="40% - Accent5 2 3 2 2" xfId="4590" xr:uid="{ACAAD38C-490E-4734-A025-3581A17A17AE}"/>
    <cellStyle name="40% - Accent5 2 3 2 2 2" xfId="8808" xr:uid="{BE76D127-313D-4147-9448-28689C794DE9}"/>
    <cellStyle name="40% - Accent5 2 3 2 3" xfId="6663" xr:uid="{56840018-E6A6-4402-8950-C89EEF498786}"/>
    <cellStyle name="40% - Accent5 2 3 2 4" xfId="2359" xr:uid="{0BCFA6C1-ECF7-4B88-B1FD-594AE31B3CB3}"/>
    <cellStyle name="40% - Accent5 2 3 2 5" xfId="1532" xr:uid="{E9CB7F0B-D7B7-4C1E-9330-D4DC654784C5}"/>
    <cellStyle name="40% - Accent5 2 3 2 6" xfId="10898" xr:uid="{B4FBEAF7-C99B-43AD-9C25-CA66E92800F8}"/>
    <cellStyle name="40% - Accent5 2 3 3" xfId="2774" xr:uid="{A1DF6BB1-73D0-43F8-A0E0-8596086A51EA}"/>
    <cellStyle name="40% - Accent5 2 3 3 2" xfId="5003" xr:uid="{7A404B38-2605-4AA5-A915-A5F8A88805A7}"/>
    <cellStyle name="40% - Accent5 2 3 3 2 2" xfId="9221" xr:uid="{9266446D-14F4-4B37-A938-86CE89E3C94C}"/>
    <cellStyle name="40% - Accent5 2 3 3 3" xfId="7076" xr:uid="{00FF6372-A67A-4300-9950-7FC10FD4C45F}"/>
    <cellStyle name="40% - Accent5 2 3 4" xfId="3187" xr:uid="{26367728-9ACB-4CDF-9CFF-6FE441F9EAAA}"/>
    <cellStyle name="40% - Accent5 2 3 4 2" xfId="5416" xr:uid="{CE3EFE0D-752B-4F62-A97A-8B2975CD1E21}"/>
    <cellStyle name="40% - Accent5 2 3 4 2 2" xfId="9634" xr:uid="{42FA8F41-F68C-4F0A-856A-6F6E31853CCF}"/>
    <cellStyle name="40% - Accent5 2 3 4 3" xfId="7489" xr:uid="{65ED26FD-BA31-4578-9D2C-0BBD37F46963}"/>
    <cellStyle name="40% - Accent5 2 3 5" xfId="3600" xr:uid="{671E96BA-74DF-41DA-BBA4-8A25D6C80333}"/>
    <cellStyle name="40% - Accent5 2 3 5 2" xfId="5829" xr:uid="{9A3B465D-BE59-4143-ABDD-B1D3A1E7FE98}"/>
    <cellStyle name="40% - Accent5 2 3 5 2 2" xfId="10047" xr:uid="{B58C9E86-BECA-4DF3-8CBA-799F9922B3EA}"/>
    <cellStyle name="40% - Accent5 2 3 5 3" xfId="7902" xr:uid="{AE57068A-DF88-4F7B-9E83-FE7512F3DBDD}"/>
    <cellStyle name="40% - Accent5 2 3 6" xfId="4013" xr:uid="{D0AC1A15-DD80-4936-AB28-ACD2A6298AAC}"/>
    <cellStyle name="40% - Accent5 2 3 6 2" xfId="8315" xr:uid="{7C43A7E9-25EC-40B0-8AA5-76DF1F5D231C}"/>
    <cellStyle name="40% - Accent5 2 3 7" xfId="6249" xr:uid="{AD1F579E-44B3-40BE-8F9D-65D2B5CABCDD}"/>
    <cellStyle name="40% - Accent5 2 3 8" xfId="1945" xr:uid="{0F80B988-8F33-4887-B1BF-17AA77E907E4}"/>
    <cellStyle name="40% - Accent5 2 3 9" xfId="1116" xr:uid="{C48596E6-F8E7-4D73-9825-06E19E32E1F8}"/>
    <cellStyle name="40% - Accent5 2 4" xfId="659" xr:uid="{00000000-0005-0000-0000-0000A8000000}"/>
    <cellStyle name="40% - Accent5 2 4 2" xfId="4587" xr:uid="{A3271458-EE4F-4B50-8F6F-430165C5A299}"/>
    <cellStyle name="40% - Accent5 2 4 2 2" xfId="8805" xr:uid="{32F6AE6E-BF1B-45DC-A1E6-A132EF9DDF30}"/>
    <cellStyle name="40% - Accent5 2 4 3" xfId="6660" xr:uid="{D820C933-C3A8-490B-9072-D6334AE9B748}"/>
    <cellStyle name="40% - Accent5 2 4 4" xfId="2356" xr:uid="{E6469E76-A4B8-4C17-BD6B-F737BC810DBD}"/>
    <cellStyle name="40% - Accent5 2 4 5" xfId="1529" xr:uid="{700C7D42-C040-43EC-AFA9-CD3F91923531}"/>
    <cellStyle name="40% - Accent5 2 4 6" xfId="10895" xr:uid="{8E180EE7-F599-4556-BAD4-DE9AAC31B06B}"/>
    <cellStyle name="40% - Accent5 2 5" xfId="2771" xr:uid="{7D4E06B3-5DEE-4223-A2A3-F8D6BCDBB699}"/>
    <cellStyle name="40% - Accent5 2 5 2" xfId="5000" xr:uid="{27BB3EC7-A2B8-4EDB-BD66-52F57BA89C22}"/>
    <cellStyle name="40% - Accent5 2 5 2 2" xfId="9218" xr:uid="{48B5CB72-AC38-4A96-971A-EB0A573604A3}"/>
    <cellStyle name="40% - Accent5 2 5 3" xfId="7073" xr:uid="{39E761C6-6962-473E-981E-3BB02409E0B5}"/>
    <cellStyle name="40% - Accent5 2 6" xfId="3184" xr:uid="{10F09364-C72C-4861-BA21-CBF0481A53A8}"/>
    <cellStyle name="40% - Accent5 2 6 2" xfId="5413" xr:uid="{9FA7CDBE-2C7D-408F-9224-B612D993FCA1}"/>
    <cellStyle name="40% - Accent5 2 6 2 2" xfId="9631" xr:uid="{C3C74345-C376-4861-AF22-C72BD198A8C8}"/>
    <cellStyle name="40% - Accent5 2 6 3" xfId="7486" xr:uid="{86316A8F-BCE4-41A8-90E4-1F2322E5582B}"/>
    <cellStyle name="40% - Accent5 2 7" xfId="3597" xr:uid="{AD857B19-764D-4914-B278-F6E1A75E02C3}"/>
    <cellStyle name="40% - Accent5 2 7 2" xfId="5826" xr:uid="{7D2D3A9B-046D-429E-8DBB-9A6800EA27A0}"/>
    <cellStyle name="40% - Accent5 2 7 2 2" xfId="10044" xr:uid="{EF1D186A-23C0-49C3-AF78-E2B9E7A9CCD7}"/>
    <cellStyle name="40% - Accent5 2 7 3" xfId="7899" xr:uid="{4D0DC111-C4CA-4D8A-AD18-851196664C9A}"/>
    <cellStyle name="40% - Accent5 2 8" xfId="4010" xr:uid="{7C6109D0-1CEC-4EAB-957B-CAF8C4D8289A}"/>
    <cellStyle name="40% - Accent5 2 8 2" xfId="8312" xr:uid="{4DB359F1-83FF-4AD9-BFBB-ACD9DC389F8D}"/>
    <cellStyle name="40% - Accent5 2 9" xfId="6246" xr:uid="{864CB5DC-01FC-47E1-A229-C9095DDD09A5}"/>
    <cellStyle name="40% - Accent5 3" xfId="86" xr:uid="{00000000-0005-0000-0000-0000A9000000}"/>
    <cellStyle name="40% - Accent5 3 10" xfId="1117" xr:uid="{E7F4AF3E-76C8-4A4A-9A78-8195196F67DC}"/>
    <cellStyle name="40% - Accent5 3 11" xfId="10483" xr:uid="{A23C627C-6C9C-4779-A313-EB654FACDACD}"/>
    <cellStyle name="40% - Accent5 3 2" xfId="87" xr:uid="{00000000-0005-0000-0000-0000AA000000}"/>
    <cellStyle name="40% - Accent5 3 2 10" xfId="10484" xr:uid="{D3776AEF-3BE4-49ED-AB62-5671EE148706}"/>
    <cellStyle name="40% - Accent5 3 2 2" xfId="664" xr:uid="{00000000-0005-0000-0000-0000AB000000}"/>
    <cellStyle name="40% - Accent5 3 2 2 2" xfId="4592" xr:uid="{DCB049CE-88D0-4E30-970A-216E4D274F3A}"/>
    <cellStyle name="40% - Accent5 3 2 2 2 2" xfId="8810" xr:uid="{A9FFCAB1-4504-4D6E-BAD3-3299FAA0B217}"/>
    <cellStyle name="40% - Accent5 3 2 2 3" xfId="6665" xr:uid="{3D7FFD0B-3F2E-47FE-B7D9-65C9DCF6AAA7}"/>
    <cellStyle name="40% - Accent5 3 2 2 4" xfId="2361" xr:uid="{053EED5C-B59A-4BF9-9F5F-250CB4FC2487}"/>
    <cellStyle name="40% - Accent5 3 2 2 5" xfId="1534" xr:uid="{D41F01D1-777B-429B-A140-A8E4034BBC31}"/>
    <cellStyle name="40% - Accent5 3 2 2 6" xfId="10900" xr:uid="{ED9BB540-2806-422F-9C62-3AF0DEBF6E73}"/>
    <cellStyle name="40% - Accent5 3 2 3" xfId="2776" xr:uid="{B21722EB-6604-429E-A6F2-BE8F28806218}"/>
    <cellStyle name="40% - Accent5 3 2 3 2" xfId="5005" xr:uid="{6506B1F5-01BE-46E7-9491-9838D5B18DF5}"/>
    <cellStyle name="40% - Accent5 3 2 3 2 2" xfId="9223" xr:uid="{69D78BB6-CF5A-425D-9B51-6649575EFADD}"/>
    <cellStyle name="40% - Accent5 3 2 3 3" xfId="7078" xr:uid="{7ABAEF53-C2D0-4AD5-B841-695338E4822E}"/>
    <cellStyle name="40% - Accent5 3 2 4" xfId="3189" xr:uid="{E91A61B7-2A66-48BF-AF52-E8B04DF41AD0}"/>
    <cellStyle name="40% - Accent5 3 2 4 2" xfId="5418" xr:uid="{4EDFF7E7-9DFB-4FFA-B6A4-617C5A5DB5D2}"/>
    <cellStyle name="40% - Accent5 3 2 4 2 2" xfId="9636" xr:uid="{86B26CB7-570C-4C1C-A0C7-7879992B424B}"/>
    <cellStyle name="40% - Accent5 3 2 4 3" xfId="7491" xr:uid="{6E92FCB2-BEB1-41A6-A876-E20629657E62}"/>
    <cellStyle name="40% - Accent5 3 2 5" xfId="3602" xr:uid="{1A90BB28-B670-4E22-AAC3-25AAA588C348}"/>
    <cellStyle name="40% - Accent5 3 2 5 2" xfId="5831" xr:uid="{A9915C20-5EDF-4029-BC49-394F96D64C47}"/>
    <cellStyle name="40% - Accent5 3 2 5 2 2" xfId="10049" xr:uid="{0C16A783-D91C-4326-8338-5D39B0B8C8EC}"/>
    <cellStyle name="40% - Accent5 3 2 5 3" xfId="7904" xr:uid="{4F1AD830-022F-4D1F-B306-DFE7F0222CEF}"/>
    <cellStyle name="40% - Accent5 3 2 6" xfId="4015" xr:uid="{42E2637F-B0C6-4CAF-A363-6B5EE75CC44E}"/>
    <cellStyle name="40% - Accent5 3 2 6 2" xfId="8317" xr:uid="{E48FA327-F856-458B-9CA2-F9B983F11863}"/>
    <cellStyle name="40% - Accent5 3 2 7" xfId="6251" xr:uid="{75323739-34DF-49B0-946E-898E63E6EAB0}"/>
    <cellStyle name="40% - Accent5 3 2 8" xfId="1947" xr:uid="{1D93C122-FD61-4EE5-9FD5-E8D0A49D2297}"/>
    <cellStyle name="40% - Accent5 3 2 9" xfId="1118" xr:uid="{237D794B-39AC-4EB0-A2FF-B2D5503A2A97}"/>
    <cellStyle name="40% - Accent5 3 3" xfId="663" xr:uid="{00000000-0005-0000-0000-0000AC000000}"/>
    <cellStyle name="40% - Accent5 3 3 2" xfId="4591" xr:uid="{5F3BD373-8B3E-4B9E-9EC0-CF08025D07F8}"/>
    <cellStyle name="40% - Accent5 3 3 2 2" xfId="8809" xr:uid="{F9F13228-099A-4DA5-8071-F4CBB9BD61C0}"/>
    <cellStyle name="40% - Accent5 3 3 3" xfId="6664" xr:uid="{62C072D5-4B8A-4101-BA71-51AF53BC052B}"/>
    <cellStyle name="40% - Accent5 3 3 4" xfId="2360" xr:uid="{08897721-D672-4613-A5BE-9FB1E4D07A71}"/>
    <cellStyle name="40% - Accent5 3 3 5" xfId="1533" xr:uid="{ED56D37C-9AF2-497C-A633-1BDEEF82C281}"/>
    <cellStyle name="40% - Accent5 3 3 6" xfId="10899" xr:uid="{FE67141A-E408-4BBA-97A5-F11AA902ED98}"/>
    <cellStyle name="40% - Accent5 3 4" xfId="2775" xr:uid="{458EDA12-7FFE-429B-9E04-149918C85F84}"/>
    <cellStyle name="40% - Accent5 3 4 2" xfId="5004" xr:uid="{11909C40-275F-42CB-82FB-70718F25BF80}"/>
    <cellStyle name="40% - Accent5 3 4 2 2" xfId="9222" xr:uid="{CD7BC74C-A95D-4F36-A778-615667DF5AC6}"/>
    <cellStyle name="40% - Accent5 3 4 3" xfId="7077" xr:uid="{9C6A72ED-9418-4666-8F18-D3E95B679F84}"/>
    <cellStyle name="40% - Accent5 3 5" xfId="3188" xr:uid="{AED4DF76-7BA0-46BF-AD2C-4674EF174DEA}"/>
    <cellStyle name="40% - Accent5 3 5 2" xfId="5417" xr:uid="{C5856E08-5D83-4610-A1BC-662C7507ACE3}"/>
    <cellStyle name="40% - Accent5 3 5 2 2" xfId="9635" xr:uid="{D125E5C6-8429-4C47-8C76-642F425D3873}"/>
    <cellStyle name="40% - Accent5 3 5 3" xfId="7490" xr:uid="{519F7539-7574-4263-B68A-25F7E3C7AA1E}"/>
    <cellStyle name="40% - Accent5 3 6" xfId="3601" xr:uid="{29181BDD-5BE6-4316-8269-A20A4BAACE6C}"/>
    <cellStyle name="40% - Accent5 3 6 2" xfId="5830" xr:uid="{D8CAB0BC-B035-429F-B040-0201E25DCFD2}"/>
    <cellStyle name="40% - Accent5 3 6 2 2" xfId="10048" xr:uid="{C8746EA5-B3A0-4872-9F32-2FA22DF10596}"/>
    <cellStyle name="40% - Accent5 3 6 3" xfId="7903" xr:uid="{C888238B-D14D-4A03-B1BF-6FCAF578BCDB}"/>
    <cellStyle name="40% - Accent5 3 7" xfId="4014" xr:uid="{1D3D95F0-0D7D-4DB6-81F2-9358094528F2}"/>
    <cellStyle name="40% - Accent5 3 7 2" xfId="8316" xr:uid="{3B2AC447-2730-4EA7-9AAC-A6B0860CBD1B}"/>
    <cellStyle name="40% - Accent5 3 8" xfId="6250" xr:uid="{26F0DC49-A38D-4057-95A6-A6E7BE88614B}"/>
    <cellStyle name="40% - Accent5 3 9" xfId="1946" xr:uid="{EB5FF776-4874-47F0-83D0-7655DD2F3DF1}"/>
    <cellStyle name="40% - Accent5 4" xfId="88" xr:uid="{00000000-0005-0000-0000-0000AD000000}"/>
    <cellStyle name="40% - Accent5 4 10" xfId="10485" xr:uid="{B813BD06-9A2B-40CA-B9BA-198E19D3156B}"/>
    <cellStyle name="40% - Accent5 4 2" xfId="665" xr:uid="{00000000-0005-0000-0000-0000AE000000}"/>
    <cellStyle name="40% - Accent5 4 2 2" xfId="4593" xr:uid="{3AEC30FC-5B56-4220-A899-9B6E6BE2FFAE}"/>
    <cellStyle name="40% - Accent5 4 2 2 2" xfId="8811" xr:uid="{30324161-CF48-4322-AEA7-49CFBE992D75}"/>
    <cellStyle name="40% - Accent5 4 2 3" xfId="6666" xr:uid="{E95D5BA1-9701-4464-910C-965F209D2131}"/>
    <cellStyle name="40% - Accent5 4 2 4" xfId="2362" xr:uid="{71174FAF-5521-4C8D-9ED8-FB273C709A85}"/>
    <cellStyle name="40% - Accent5 4 2 5" xfId="1535" xr:uid="{C335726C-72E9-4327-827C-BEF4F81AFE1D}"/>
    <cellStyle name="40% - Accent5 4 2 6" xfId="10901" xr:uid="{0099150C-CFCC-403E-BAB7-38C37DBD475D}"/>
    <cellStyle name="40% - Accent5 4 3" xfId="2777" xr:uid="{3472F7BB-5CCA-4D24-BBE2-B669B6D64833}"/>
    <cellStyle name="40% - Accent5 4 3 2" xfId="5006" xr:uid="{FA850172-C28D-4161-B497-E4400B6FB828}"/>
    <cellStyle name="40% - Accent5 4 3 2 2" xfId="9224" xr:uid="{44A25F70-08E4-4D45-975C-4512255FA66E}"/>
    <cellStyle name="40% - Accent5 4 3 3" xfId="7079" xr:uid="{14756824-9370-411F-AB29-0E14EFFF2A16}"/>
    <cellStyle name="40% - Accent5 4 4" xfId="3190" xr:uid="{59E486EC-1BD4-41B1-B684-8F170B3965B3}"/>
    <cellStyle name="40% - Accent5 4 4 2" xfId="5419" xr:uid="{13AC1F4F-E1B9-4E8D-BBDD-E1226EDF9E6E}"/>
    <cellStyle name="40% - Accent5 4 4 2 2" xfId="9637" xr:uid="{D4F856A5-208E-4533-A6D2-4468EBB89667}"/>
    <cellStyle name="40% - Accent5 4 4 3" xfId="7492" xr:uid="{7B869526-D5FA-466C-8DD5-0DA626558CF8}"/>
    <cellStyle name="40% - Accent5 4 5" xfId="3603" xr:uid="{139C9FDE-728E-486C-B4AF-9382E5986D4E}"/>
    <cellStyle name="40% - Accent5 4 5 2" xfId="5832" xr:uid="{C6FBA35F-05C0-428E-A953-C15CDC43E55B}"/>
    <cellStyle name="40% - Accent5 4 5 2 2" xfId="10050" xr:uid="{F1CB931A-98AE-439B-9DF2-F040A3263CA3}"/>
    <cellStyle name="40% - Accent5 4 5 3" xfId="7905" xr:uid="{4DF58C4E-24ED-493A-BCA2-6179E2D2247B}"/>
    <cellStyle name="40% - Accent5 4 6" xfId="4016" xr:uid="{31993E81-6A72-4790-9C66-4AFAE4F64CFA}"/>
    <cellStyle name="40% - Accent5 4 6 2" xfId="8318" xr:uid="{4DBF36C9-06F1-4FE6-B32C-965C48A062DE}"/>
    <cellStyle name="40% - Accent5 4 7" xfId="6252" xr:uid="{73DBB703-B05B-4CD2-BC8B-2007D25A88B3}"/>
    <cellStyle name="40% - Accent5 4 8" xfId="1948" xr:uid="{C99D780C-E4E8-4784-9729-71EDCFFE8ADB}"/>
    <cellStyle name="40% - Accent5 4 9" xfId="1119" xr:uid="{0FDB74FB-7A00-4A83-B054-6B76F8CC8D35}"/>
    <cellStyle name="40% - Accent5 5" xfId="658" xr:uid="{00000000-0005-0000-0000-0000AF000000}"/>
    <cellStyle name="40% - Accent5 5 2" xfId="4586" xr:uid="{F2013474-A06A-4CA8-8D8F-10BF2F925A8A}"/>
    <cellStyle name="40% - Accent5 5 2 2" xfId="8804" xr:uid="{B7C49B82-1957-487B-B383-A3967AFE3270}"/>
    <cellStyle name="40% - Accent5 5 3" xfId="6659" xr:uid="{6C8E4A28-AB69-4511-895A-B1167DBF7886}"/>
    <cellStyle name="40% - Accent5 5 4" xfId="2355" xr:uid="{12C38EE4-079F-4389-923A-B9D2A8ABEC45}"/>
    <cellStyle name="40% - Accent5 5 5" xfId="1528" xr:uid="{5BFC22AF-05D7-4D57-96FA-A3295ED15360}"/>
    <cellStyle name="40% - Accent5 5 6" xfId="10894" xr:uid="{BDD60099-B6C3-47CD-BDA2-DA6F1AF26A4C}"/>
    <cellStyle name="40% - Accent5 6" xfId="2770" xr:uid="{FAB7D55C-2947-4245-82CF-7380199F2E1C}"/>
    <cellStyle name="40% - Accent5 6 2" xfId="4999" xr:uid="{C8F460CB-2028-40D9-9D62-C1CC6B5927DC}"/>
    <cellStyle name="40% - Accent5 6 2 2" xfId="9217" xr:uid="{A7AAEDBC-3E29-4F60-AD7D-BD965545BD2E}"/>
    <cellStyle name="40% - Accent5 6 3" xfId="7072" xr:uid="{94808E71-3B5B-4990-BF58-9F20A70B06EB}"/>
    <cellStyle name="40% - Accent5 7" xfId="3183" xr:uid="{6DFB1CD4-EDE9-4316-9D0B-8A6CBDEDB52B}"/>
    <cellStyle name="40% - Accent5 7 2" xfId="5412" xr:uid="{3129E6F7-B9CD-4672-8593-833FE651E720}"/>
    <cellStyle name="40% - Accent5 7 2 2" xfId="9630" xr:uid="{4CF44C15-B11E-438F-8CF1-3F0379F93A22}"/>
    <cellStyle name="40% - Accent5 7 3" xfId="7485" xr:uid="{AE5E12FC-29AE-416D-AC14-70FECF21AE9F}"/>
    <cellStyle name="40% - Accent5 8" xfId="3596" xr:uid="{824F8B24-CD6B-4D9C-B8B6-6E1C322909BE}"/>
    <cellStyle name="40% - Accent5 8 2" xfId="5825" xr:uid="{68F5A6EC-FE70-4DF8-B881-7D145A73499F}"/>
    <cellStyle name="40% - Accent5 8 2 2" xfId="10043" xr:uid="{F800D953-D673-4BF7-BD53-6C67B1E3417F}"/>
    <cellStyle name="40% - Accent5 8 3" xfId="7898" xr:uid="{96CC778C-D32F-49E5-8404-2D762275E7FF}"/>
    <cellStyle name="40% - Accent5 9" xfId="4009" xr:uid="{DA932FF5-E136-4B0C-B9BA-BB53B6378A0B}"/>
    <cellStyle name="40% - Accent5 9 2" xfId="8311" xr:uid="{A1572A59-7CDC-487F-A35B-EF7155849016}"/>
    <cellStyle name="40% - Accent6" xfId="89" builtinId="51" customBuiltin="1"/>
    <cellStyle name="40% - Accent6 10" xfId="6253" xr:uid="{50ED2C91-AA94-4BB2-92E8-9ABF48E894BD}"/>
    <cellStyle name="40% - Accent6 11" xfId="1949" xr:uid="{205AF14C-203C-4F95-A4D3-00DC6FDC1CD1}"/>
    <cellStyle name="40% - Accent6 12" xfId="1120" xr:uid="{1A2AF874-8058-437F-976C-088209C8EE48}"/>
    <cellStyle name="40% - Accent6 13" xfId="10486" xr:uid="{669E89B0-D8D5-48F1-8A56-2DF2609734C2}"/>
    <cellStyle name="40% - Accent6 2" xfId="90" xr:uid="{00000000-0005-0000-0000-0000B1000000}"/>
    <cellStyle name="40% - Accent6 2 10" xfId="1950" xr:uid="{3184683D-AD23-4D75-AC65-A553116A8036}"/>
    <cellStyle name="40% - Accent6 2 11" xfId="1121" xr:uid="{648E0DC3-60F5-4DB3-A328-20DA739D504A}"/>
    <cellStyle name="40% - Accent6 2 12" xfId="10487" xr:uid="{0FD4725A-C2AC-4006-99F2-0F5805294DC5}"/>
    <cellStyle name="40% - Accent6 2 2" xfId="91" xr:uid="{00000000-0005-0000-0000-0000B2000000}"/>
    <cellStyle name="40% - Accent6 2 2 10" xfId="1122" xr:uid="{DC633411-2F32-4079-8092-97A932F340D1}"/>
    <cellStyle name="40% - Accent6 2 2 11" xfId="10488" xr:uid="{F1A8EA43-ED43-4D2A-A122-5535EEB7367F}"/>
    <cellStyle name="40% - Accent6 2 2 2" xfId="92" xr:uid="{00000000-0005-0000-0000-0000B3000000}"/>
    <cellStyle name="40% - Accent6 2 2 2 10" xfId="10489" xr:uid="{F209EC0B-8BA0-4E72-8B54-8BD641038930}"/>
    <cellStyle name="40% - Accent6 2 2 2 2" xfId="669" xr:uid="{00000000-0005-0000-0000-0000B4000000}"/>
    <cellStyle name="40% - Accent6 2 2 2 2 2" xfId="4597" xr:uid="{16464123-1AF5-40C8-BE2D-D1000B7FE15C}"/>
    <cellStyle name="40% - Accent6 2 2 2 2 2 2" xfId="8815" xr:uid="{493C989A-E18C-4D2C-BA69-07E2CED3C4C6}"/>
    <cellStyle name="40% - Accent6 2 2 2 2 3" xfId="6670" xr:uid="{E9BBD925-B198-47BF-85B0-E169CC25366B}"/>
    <cellStyle name="40% - Accent6 2 2 2 2 4" xfId="2366" xr:uid="{9BB27F55-F5A2-4595-AC0B-B4A0A0CE01B3}"/>
    <cellStyle name="40% - Accent6 2 2 2 2 5" xfId="1539" xr:uid="{3F7A4A73-0C5A-437A-8523-E30071658C71}"/>
    <cellStyle name="40% - Accent6 2 2 2 2 6" xfId="10905" xr:uid="{9145505D-D0BF-4198-8587-E017AC98294B}"/>
    <cellStyle name="40% - Accent6 2 2 2 3" xfId="2781" xr:uid="{1BFE909A-5B7A-44A7-B406-7A30712FCB6D}"/>
    <cellStyle name="40% - Accent6 2 2 2 3 2" xfId="5010" xr:uid="{33A193E2-A3D9-4B10-A543-B08BEE536632}"/>
    <cellStyle name="40% - Accent6 2 2 2 3 2 2" xfId="9228" xr:uid="{6ED01BC1-0101-48E0-8DA6-E5A683D1BB9F}"/>
    <cellStyle name="40% - Accent6 2 2 2 3 3" xfId="7083" xr:uid="{B5A31AA5-E32D-4AB1-A5CA-B082D8C568F8}"/>
    <cellStyle name="40% - Accent6 2 2 2 4" xfId="3194" xr:uid="{7987FE3D-CC48-40E7-9CE3-F8033A726E4A}"/>
    <cellStyle name="40% - Accent6 2 2 2 4 2" xfId="5423" xr:uid="{142C6B06-AFD0-4C00-8BB9-5C3C73F0E01B}"/>
    <cellStyle name="40% - Accent6 2 2 2 4 2 2" xfId="9641" xr:uid="{79C2B350-F08B-4897-91F9-78F7B51A0330}"/>
    <cellStyle name="40% - Accent6 2 2 2 4 3" xfId="7496" xr:uid="{AAD05059-12DE-4495-A7A0-1DCC4A3B898D}"/>
    <cellStyle name="40% - Accent6 2 2 2 5" xfId="3607" xr:uid="{6920669B-0B1D-44E0-97EC-C2E0587C7642}"/>
    <cellStyle name="40% - Accent6 2 2 2 5 2" xfId="5836" xr:uid="{C455DAA2-F94B-4B76-BA5B-149C41B20749}"/>
    <cellStyle name="40% - Accent6 2 2 2 5 2 2" xfId="10054" xr:uid="{38242038-0633-47CE-8018-E656182CF228}"/>
    <cellStyle name="40% - Accent6 2 2 2 5 3" xfId="7909" xr:uid="{03E1171C-AFAB-4003-94D5-445D1A44AB3D}"/>
    <cellStyle name="40% - Accent6 2 2 2 6" xfId="4020" xr:uid="{C0454584-7F0C-4C4A-B3D0-12895DBDDA65}"/>
    <cellStyle name="40% - Accent6 2 2 2 6 2" xfId="8322" xr:uid="{FDDD2CF7-FDB3-4CAC-8A67-32C6FFA5CFDE}"/>
    <cellStyle name="40% - Accent6 2 2 2 7" xfId="6256" xr:uid="{16B55B86-3D72-4CB5-9E4F-2D8A4FC424B3}"/>
    <cellStyle name="40% - Accent6 2 2 2 8" xfId="1952" xr:uid="{589A7719-82A3-484D-B252-166AC31B4440}"/>
    <cellStyle name="40% - Accent6 2 2 2 9" xfId="1123" xr:uid="{7B201012-B0CB-4F1C-918F-821F7DBEAE03}"/>
    <cellStyle name="40% - Accent6 2 2 3" xfId="668" xr:uid="{00000000-0005-0000-0000-0000B5000000}"/>
    <cellStyle name="40% - Accent6 2 2 3 2" xfId="4596" xr:uid="{F510D3CB-33B8-454E-9457-05F6AF10F0C0}"/>
    <cellStyle name="40% - Accent6 2 2 3 2 2" xfId="8814" xr:uid="{B89BA3A0-B503-486A-AD39-ED7A2836092A}"/>
    <cellStyle name="40% - Accent6 2 2 3 3" xfId="6669" xr:uid="{48C9AD1E-819F-4730-A2DC-DAD3F4F1F371}"/>
    <cellStyle name="40% - Accent6 2 2 3 4" xfId="2365" xr:uid="{A5D6D210-5C26-44BC-BBFB-C0231FC79447}"/>
    <cellStyle name="40% - Accent6 2 2 3 5" xfId="1538" xr:uid="{63296D2F-D3FE-46B7-8B59-AF4607935ECE}"/>
    <cellStyle name="40% - Accent6 2 2 3 6" xfId="10904" xr:uid="{C0B9B24E-B05B-4A1F-AFF9-E4B611101CDB}"/>
    <cellStyle name="40% - Accent6 2 2 4" xfId="2780" xr:uid="{E2E38AE1-FCA8-4F96-8853-971DDA1DEEB0}"/>
    <cellStyle name="40% - Accent6 2 2 4 2" xfId="5009" xr:uid="{6C2CA815-32C4-4CDB-AD15-E9E4B7A6AE9B}"/>
    <cellStyle name="40% - Accent6 2 2 4 2 2" xfId="9227" xr:uid="{72F72F13-2240-46C1-861B-07172849FBC9}"/>
    <cellStyle name="40% - Accent6 2 2 4 3" xfId="7082" xr:uid="{173968B4-BE83-464F-90CA-04E7CE49298E}"/>
    <cellStyle name="40% - Accent6 2 2 5" xfId="3193" xr:uid="{6AF6D126-57EB-4625-B7AD-2617084A86D5}"/>
    <cellStyle name="40% - Accent6 2 2 5 2" xfId="5422" xr:uid="{2E7A46C1-1EED-4885-B0AE-DFBA9D4224FA}"/>
    <cellStyle name="40% - Accent6 2 2 5 2 2" xfId="9640" xr:uid="{7E07B492-8B82-43B2-98AE-B69D636802E9}"/>
    <cellStyle name="40% - Accent6 2 2 5 3" xfId="7495" xr:uid="{6601891E-EC1D-46FB-B579-E76323084641}"/>
    <cellStyle name="40% - Accent6 2 2 6" xfId="3606" xr:uid="{BF740082-C511-41B1-8365-8826DD9CEFB0}"/>
    <cellStyle name="40% - Accent6 2 2 6 2" xfId="5835" xr:uid="{7462AA9F-E9DA-4B1F-8B85-29F827A4D940}"/>
    <cellStyle name="40% - Accent6 2 2 6 2 2" xfId="10053" xr:uid="{1A51A139-A3BF-43AC-9BDA-B3FA2376C7CD}"/>
    <cellStyle name="40% - Accent6 2 2 6 3" xfId="7908" xr:uid="{39993D88-A980-4A2A-8DE7-01B30204A431}"/>
    <cellStyle name="40% - Accent6 2 2 7" xfId="4019" xr:uid="{DA9C9695-3631-48CE-9BA7-33554CD2A15A}"/>
    <cellStyle name="40% - Accent6 2 2 7 2" xfId="8321" xr:uid="{307AB588-3707-4944-8635-7B7AB7533F91}"/>
    <cellStyle name="40% - Accent6 2 2 8" xfId="6255" xr:uid="{2B9F906E-9432-4978-BC1E-538567B7D2FE}"/>
    <cellStyle name="40% - Accent6 2 2 9" xfId="1951" xr:uid="{C003A8EF-2290-4271-8066-7C8F9620C2B3}"/>
    <cellStyle name="40% - Accent6 2 3" xfId="93" xr:uid="{00000000-0005-0000-0000-0000B6000000}"/>
    <cellStyle name="40% - Accent6 2 3 10" xfId="10490" xr:uid="{8BEB296E-2080-44CE-89FD-1F14A77E5BC2}"/>
    <cellStyle name="40% - Accent6 2 3 2" xfId="670" xr:uid="{00000000-0005-0000-0000-0000B7000000}"/>
    <cellStyle name="40% - Accent6 2 3 2 2" xfId="4598" xr:uid="{58337965-A00B-43DA-A354-77B44A20A806}"/>
    <cellStyle name="40% - Accent6 2 3 2 2 2" xfId="8816" xr:uid="{A92BE264-7CE5-40E6-8B4A-D7E764B581C0}"/>
    <cellStyle name="40% - Accent6 2 3 2 3" xfId="6671" xr:uid="{FB8E850A-17DC-4066-A17E-BC4DE38D021C}"/>
    <cellStyle name="40% - Accent6 2 3 2 4" xfId="2367" xr:uid="{CC90AB5C-026A-4462-B1FA-C38824A30167}"/>
    <cellStyle name="40% - Accent6 2 3 2 5" xfId="1540" xr:uid="{C1C2FD02-3712-49FC-A918-395685745132}"/>
    <cellStyle name="40% - Accent6 2 3 2 6" xfId="10906" xr:uid="{75DC7C6D-D7C7-4B71-AF1E-86AEE5BEFAFE}"/>
    <cellStyle name="40% - Accent6 2 3 3" xfId="2782" xr:uid="{77667DE2-6686-45C8-AA58-02BB65BAEE6A}"/>
    <cellStyle name="40% - Accent6 2 3 3 2" xfId="5011" xr:uid="{918C992F-9C1F-4443-B7E5-7F7D85B27105}"/>
    <cellStyle name="40% - Accent6 2 3 3 2 2" xfId="9229" xr:uid="{EC4BAB8C-DE5A-40DB-9D91-4903084FC4AF}"/>
    <cellStyle name="40% - Accent6 2 3 3 3" xfId="7084" xr:uid="{4408249E-BC80-4C88-806C-D33DCA12CF41}"/>
    <cellStyle name="40% - Accent6 2 3 4" xfId="3195" xr:uid="{629BDB30-1187-441A-ABE1-AA82AEB00FAC}"/>
    <cellStyle name="40% - Accent6 2 3 4 2" xfId="5424" xr:uid="{30279FFA-7855-4196-B096-E88BFB863E97}"/>
    <cellStyle name="40% - Accent6 2 3 4 2 2" xfId="9642" xr:uid="{4B19910E-1925-47DA-9BF7-93AA58B58EB5}"/>
    <cellStyle name="40% - Accent6 2 3 4 3" xfId="7497" xr:uid="{DA1EC6E9-10A6-43E2-8692-1E74069243AD}"/>
    <cellStyle name="40% - Accent6 2 3 5" xfId="3608" xr:uid="{603281B1-D74A-426D-831E-D2C3C3BF75C2}"/>
    <cellStyle name="40% - Accent6 2 3 5 2" xfId="5837" xr:uid="{1EEB8F6D-B386-4704-A82F-35F703463096}"/>
    <cellStyle name="40% - Accent6 2 3 5 2 2" xfId="10055" xr:uid="{F42596EF-6DD6-45F0-9AF1-62029878B0F6}"/>
    <cellStyle name="40% - Accent6 2 3 5 3" xfId="7910" xr:uid="{229E675E-1923-4189-AC88-8A7EF78BA2B3}"/>
    <cellStyle name="40% - Accent6 2 3 6" xfId="4021" xr:uid="{DDA9CF68-845F-4DCE-8418-3B2394E5156E}"/>
    <cellStyle name="40% - Accent6 2 3 6 2" xfId="8323" xr:uid="{C0C67373-EA9D-41A1-AA5F-4827D187E2BD}"/>
    <cellStyle name="40% - Accent6 2 3 7" xfId="6257" xr:uid="{8B243E6D-FAFE-44F7-91CB-A98544302EDB}"/>
    <cellStyle name="40% - Accent6 2 3 8" xfId="1953" xr:uid="{B3689662-74A3-48AB-A513-5A1D676D0866}"/>
    <cellStyle name="40% - Accent6 2 3 9" xfId="1124" xr:uid="{CEC97E0A-C2BF-4722-8B88-AD7D8E65CC5F}"/>
    <cellStyle name="40% - Accent6 2 4" xfId="667" xr:uid="{00000000-0005-0000-0000-0000B8000000}"/>
    <cellStyle name="40% - Accent6 2 4 2" xfId="4595" xr:uid="{840206A8-5F78-4D11-ADBC-549E65D1704E}"/>
    <cellStyle name="40% - Accent6 2 4 2 2" xfId="8813" xr:uid="{056ACA86-0856-4748-AB5F-0B9134C8A5FB}"/>
    <cellStyle name="40% - Accent6 2 4 3" xfId="6668" xr:uid="{9634F3B9-E1AE-4BCE-ABD0-50356788100B}"/>
    <cellStyle name="40% - Accent6 2 4 4" xfId="2364" xr:uid="{486E5092-E9D5-4FFD-A53D-6F0F2959C998}"/>
    <cellStyle name="40% - Accent6 2 4 5" xfId="1537" xr:uid="{30238F86-C723-4EBC-BC11-4F131393E51E}"/>
    <cellStyle name="40% - Accent6 2 4 6" xfId="10903" xr:uid="{7E77A361-C3C6-4B06-B00A-2DC7D8D659E5}"/>
    <cellStyle name="40% - Accent6 2 5" xfId="2779" xr:uid="{2CEEF4AE-A936-4705-BE94-D85DD472983E}"/>
    <cellStyle name="40% - Accent6 2 5 2" xfId="5008" xr:uid="{C6DBDF0A-0602-472D-ABCF-95158CC57065}"/>
    <cellStyle name="40% - Accent6 2 5 2 2" xfId="9226" xr:uid="{4FFE98AD-F218-403F-B54D-24E81D13E7A5}"/>
    <cellStyle name="40% - Accent6 2 5 3" xfId="7081" xr:uid="{BA33879E-8113-41BD-A514-F517D520D964}"/>
    <cellStyle name="40% - Accent6 2 6" xfId="3192" xr:uid="{A134D574-B0F5-4664-AA00-E99E59303AC9}"/>
    <cellStyle name="40% - Accent6 2 6 2" xfId="5421" xr:uid="{7044AEAA-C224-460E-BE28-17A12E5FF5B6}"/>
    <cellStyle name="40% - Accent6 2 6 2 2" xfId="9639" xr:uid="{541D0137-3469-4AE8-944E-9198B26A41A9}"/>
    <cellStyle name="40% - Accent6 2 6 3" xfId="7494" xr:uid="{CA497B9A-3FCE-4119-99C1-4CEEC8CF66C8}"/>
    <cellStyle name="40% - Accent6 2 7" xfId="3605" xr:uid="{25D9A4C8-B9F9-40F5-B9AA-485D63CEB81E}"/>
    <cellStyle name="40% - Accent6 2 7 2" xfId="5834" xr:uid="{38689765-51BA-4BAE-8D2B-7A912AC3F595}"/>
    <cellStyle name="40% - Accent6 2 7 2 2" xfId="10052" xr:uid="{99CA0D83-12D8-4A89-BDBF-85823333E63D}"/>
    <cellStyle name="40% - Accent6 2 7 3" xfId="7907" xr:uid="{233CFCC2-41D4-4214-999B-2A4C4D90AFD3}"/>
    <cellStyle name="40% - Accent6 2 8" xfId="4018" xr:uid="{AA4A1E17-AD1D-466A-AAE3-99236F2D1B97}"/>
    <cellStyle name="40% - Accent6 2 8 2" xfId="8320" xr:uid="{B9276F19-A49C-447D-916E-DC5C7B6316FC}"/>
    <cellStyle name="40% - Accent6 2 9" xfId="6254" xr:uid="{7403329D-5225-4391-BE95-7BEBB982B1FD}"/>
    <cellStyle name="40% - Accent6 3" xfId="94" xr:uid="{00000000-0005-0000-0000-0000B9000000}"/>
    <cellStyle name="40% - Accent6 3 10" xfId="1125" xr:uid="{FE83D001-2783-4607-8143-EBE28A0CF847}"/>
    <cellStyle name="40% - Accent6 3 11" xfId="10491" xr:uid="{58CF5CFE-4B11-472A-AEC5-9346B336E168}"/>
    <cellStyle name="40% - Accent6 3 2" xfId="95" xr:uid="{00000000-0005-0000-0000-0000BA000000}"/>
    <cellStyle name="40% - Accent6 3 2 10" xfId="10492" xr:uid="{0E8C96B5-610B-41A5-AC37-0B0600D0AB7A}"/>
    <cellStyle name="40% - Accent6 3 2 2" xfId="672" xr:uid="{00000000-0005-0000-0000-0000BB000000}"/>
    <cellStyle name="40% - Accent6 3 2 2 2" xfId="4600" xr:uid="{54B1A9DC-9D4A-4854-BCD1-000413A519BA}"/>
    <cellStyle name="40% - Accent6 3 2 2 2 2" xfId="8818" xr:uid="{30E5B754-CA6E-40DF-AC8E-73269226C6A5}"/>
    <cellStyle name="40% - Accent6 3 2 2 3" xfId="6673" xr:uid="{CF9BDF45-DE0B-4088-A2E3-0095AE599102}"/>
    <cellStyle name="40% - Accent6 3 2 2 4" xfId="2369" xr:uid="{89514A05-F4D9-4424-95A8-9D0B1EE61CF3}"/>
    <cellStyle name="40% - Accent6 3 2 2 5" xfId="1542" xr:uid="{0144C535-B0AD-47EE-8325-1C5E33272A48}"/>
    <cellStyle name="40% - Accent6 3 2 2 6" xfId="10908" xr:uid="{88F474FD-CDF2-4859-A74B-48D35C006D8F}"/>
    <cellStyle name="40% - Accent6 3 2 3" xfId="2784" xr:uid="{4A8D1FEF-3466-4C36-A0E9-C96F5279F55B}"/>
    <cellStyle name="40% - Accent6 3 2 3 2" xfId="5013" xr:uid="{1168D8EE-3FFB-4755-B51F-5EA64C97DD4C}"/>
    <cellStyle name="40% - Accent6 3 2 3 2 2" xfId="9231" xr:uid="{683D189B-DBB1-436D-90FC-C274C0A41095}"/>
    <cellStyle name="40% - Accent6 3 2 3 3" xfId="7086" xr:uid="{590B859C-9F56-4D06-9D95-A8B7AE5B66D7}"/>
    <cellStyle name="40% - Accent6 3 2 4" xfId="3197" xr:uid="{D3C83DB7-21C4-46F9-B5B3-0A179C450A5F}"/>
    <cellStyle name="40% - Accent6 3 2 4 2" xfId="5426" xr:uid="{1F66D772-6C78-4410-B24A-BEDB61852DA0}"/>
    <cellStyle name="40% - Accent6 3 2 4 2 2" xfId="9644" xr:uid="{FEE11594-29C6-4B06-B12E-092583CCA1D6}"/>
    <cellStyle name="40% - Accent6 3 2 4 3" xfId="7499" xr:uid="{5BA6F748-4457-4D4A-B557-15DCCB3EE53D}"/>
    <cellStyle name="40% - Accent6 3 2 5" xfId="3610" xr:uid="{97C2D526-6282-46E1-914B-9AB24BC9745E}"/>
    <cellStyle name="40% - Accent6 3 2 5 2" xfId="5839" xr:uid="{989F05EE-9950-4AB0-A330-FBBEABBF975E}"/>
    <cellStyle name="40% - Accent6 3 2 5 2 2" xfId="10057" xr:uid="{3C53C317-F2B1-4283-A71C-0D3F25F60C79}"/>
    <cellStyle name="40% - Accent6 3 2 5 3" xfId="7912" xr:uid="{3CF47EF8-CDFF-4281-926A-D20BFCCABEB0}"/>
    <cellStyle name="40% - Accent6 3 2 6" xfId="4023" xr:uid="{6B2C384D-A205-4C70-A3AD-65454F2CA7C0}"/>
    <cellStyle name="40% - Accent6 3 2 6 2" xfId="8325" xr:uid="{E2C0F767-43DC-40AA-93D1-FA9FF70C775D}"/>
    <cellStyle name="40% - Accent6 3 2 7" xfId="6259" xr:uid="{48F7EE83-7638-4B2A-9F37-FAB9C0D9163F}"/>
    <cellStyle name="40% - Accent6 3 2 8" xfId="1955" xr:uid="{C2BC0473-6E8C-4ECF-9A24-925586757286}"/>
    <cellStyle name="40% - Accent6 3 2 9" xfId="1126" xr:uid="{0514A25F-CF86-432F-B372-67F575AA98AD}"/>
    <cellStyle name="40% - Accent6 3 3" xfId="671" xr:uid="{00000000-0005-0000-0000-0000BC000000}"/>
    <cellStyle name="40% - Accent6 3 3 2" xfId="4599" xr:uid="{A294A83B-1A42-4569-BA1E-475AF624FBF1}"/>
    <cellStyle name="40% - Accent6 3 3 2 2" xfId="8817" xr:uid="{003AB881-99DE-4DC0-9397-F0A863AD83F8}"/>
    <cellStyle name="40% - Accent6 3 3 3" xfId="6672" xr:uid="{0534AF49-5E23-4A95-A06E-74F8427E1744}"/>
    <cellStyle name="40% - Accent6 3 3 4" xfId="2368" xr:uid="{2DAA6C48-BB8A-4834-B111-E46B3A3B68B8}"/>
    <cellStyle name="40% - Accent6 3 3 5" xfId="1541" xr:uid="{AB91195C-B76A-4A67-9F1A-090F4A9424D7}"/>
    <cellStyle name="40% - Accent6 3 3 6" xfId="10907" xr:uid="{DBA9B2E2-A29E-4C9F-9657-78E044DEB6FE}"/>
    <cellStyle name="40% - Accent6 3 4" xfId="2783" xr:uid="{CEE08D95-4BA1-4F00-9C4C-30BAFBF98E13}"/>
    <cellStyle name="40% - Accent6 3 4 2" xfId="5012" xr:uid="{634C83B9-BCBF-48C0-81B7-0CCEE35A93B8}"/>
    <cellStyle name="40% - Accent6 3 4 2 2" xfId="9230" xr:uid="{3A73F892-665B-4CFB-944C-3B45578A4F29}"/>
    <cellStyle name="40% - Accent6 3 4 3" xfId="7085" xr:uid="{38DD659F-8FB1-412F-A565-882EE66ECF2B}"/>
    <cellStyle name="40% - Accent6 3 5" xfId="3196" xr:uid="{639E974D-0C64-4D3B-83CB-A5B1DBDA5843}"/>
    <cellStyle name="40% - Accent6 3 5 2" xfId="5425" xr:uid="{CA437DA9-B565-4BD2-81C8-60593FF5F393}"/>
    <cellStyle name="40% - Accent6 3 5 2 2" xfId="9643" xr:uid="{657F25B2-7925-409D-A023-321E02835278}"/>
    <cellStyle name="40% - Accent6 3 5 3" xfId="7498" xr:uid="{256905D3-645B-4654-9DB5-D8A447ADC595}"/>
    <cellStyle name="40% - Accent6 3 6" xfId="3609" xr:uid="{C80D07D9-3147-49FB-9B65-D69DABBEFB17}"/>
    <cellStyle name="40% - Accent6 3 6 2" xfId="5838" xr:uid="{018A5CC5-B64A-4CC8-911A-79379731A847}"/>
    <cellStyle name="40% - Accent6 3 6 2 2" xfId="10056" xr:uid="{2F3B3FEE-4B60-4128-A2CD-818218B0F118}"/>
    <cellStyle name="40% - Accent6 3 6 3" xfId="7911" xr:uid="{90794E06-0EB9-4837-A0BC-C8AA397D05D9}"/>
    <cellStyle name="40% - Accent6 3 7" xfId="4022" xr:uid="{61BF0D1A-93E7-4C59-85F0-7790AF33F77E}"/>
    <cellStyle name="40% - Accent6 3 7 2" xfId="8324" xr:uid="{1ECF7107-CC34-45E0-8170-739788E5DCE7}"/>
    <cellStyle name="40% - Accent6 3 8" xfId="6258" xr:uid="{1CB1D11E-73D4-4361-8580-B2EFD6BE2D0C}"/>
    <cellStyle name="40% - Accent6 3 9" xfId="1954" xr:uid="{C287C70D-F22F-41B7-9D40-4D6F57000DE3}"/>
    <cellStyle name="40% - Accent6 4" xfId="96" xr:uid="{00000000-0005-0000-0000-0000BD000000}"/>
    <cellStyle name="40% - Accent6 4 10" xfId="10493" xr:uid="{B85AAA26-CD82-4D35-86E9-0DEBF68AC970}"/>
    <cellStyle name="40% - Accent6 4 2" xfId="673" xr:uid="{00000000-0005-0000-0000-0000BE000000}"/>
    <cellStyle name="40% - Accent6 4 2 2" xfId="4601" xr:uid="{33B48263-E0DF-4A4F-9121-8F06CD5F1773}"/>
    <cellStyle name="40% - Accent6 4 2 2 2" xfId="8819" xr:uid="{7165403A-4D1F-4B00-8D6E-89203A845291}"/>
    <cellStyle name="40% - Accent6 4 2 3" xfId="6674" xr:uid="{4E99437A-3140-4586-A84D-BB0F62F1205C}"/>
    <cellStyle name="40% - Accent6 4 2 4" xfId="2370" xr:uid="{28629988-B1EB-43F4-9EDF-CA916B331708}"/>
    <cellStyle name="40% - Accent6 4 2 5" xfId="1543" xr:uid="{271C0B12-8F5E-4284-9628-B0E0E2202FD3}"/>
    <cellStyle name="40% - Accent6 4 2 6" xfId="10909" xr:uid="{1B407DAD-73D6-4CFF-BBB1-7DFEF0192A59}"/>
    <cellStyle name="40% - Accent6 4 3" xfId="2785" xr:uid="{EC602BF9-91C3-49E9-A8E7-38963972F8E7}"/>
    <cellStyle name="40% - Accent6 4 3 2" xfId="5014" xr:uid="{ABA269C8-AAFD-42FF-BFDB-0149D90982FC}"/>
    <cellStyle name="40% - Accent6 4 3 2 2" xfId="9232" xr:uid="{AB66AC36-8817-4119-B465-6790F96D6BF3}"/>
    <cellStyle name="40% - Accent6 4 3 3" xfId="7087" xr:uid="{B5D06DFB-D0B0-49B0-B183-DD6EA62B8AE6}"/>
    <cellStyle name="40% - Accent6 4 4" xfId="3198" xr:uid="{9220DFAE-5CE2-475D-A18C-CC1BC9E01006}"/>
    <cellStyle name="40% - Accent6 4 4 2" xfId="5427" xr:uid="{FD9E230E-975D-47C5-9427-67F55CCEC0F7}"/>
    <cellStyle name="40% - Accent6 4 4 2 2" xfId="9645" xr:uid="{F971BAFB-6CBD-4FD9-A4AA-6D8BAD5F47D3}"/>
    <cellStyle name="40% - Accent6 4 4 3" xfId="7500" xr:uid="{158A8672-DD29-437C-80D0-BFC1FBC734B6}"/>
    <cellStyle name="40% - Accent6 4 5" xfId="3611" xr:uid="{CC019651-E186-449B-B8E5-A38FC9896496}"/>
    <cellStyle name="40% - Accent6 4 5 2" xfId="5840" xr:uid="{F2D82323-04BD-4E7A-A4B2-1B25B01851F8}"/>
    <cellStyle name="40% - Accent6 4 5 2 2" xfId="10058" xr:uid="{9AEEED95-A0E9-4C6D-8A86-A19D7EDB01FC}"/>
    <cellStyle name="40% - Accent6 4 5 3" xfId="7913" xr:uid="{853B1325-02AA-41AE-B124-7F172E167ECF}"/>
    <cellStyle name="40% - Accent6 4 6" xfId="4024" xr:uid="{CEF3D1F1-7122-4D21-95DE-FB480BF90B68}"/>
    <cellStyle name="40% - Accent6 4 6 2" xfId="8326" xr:uid="{3202CDB5-7EE8-4D78-A0AB-33E4428F6EB9}"/>
    <cellStyle name="40% - Accent6 4 7" xfId="6260" xr:uid="{2D984BF2-A858-4B48-AA0C-192114F2CF28}"/>
    <cellStyle name="40% - Accent6 4 8" xfId="1956" xr:uid="{14C6C715-2802-4D60-A88B-DBBE03CB5FFE}"/>
    <cellStyle name="40% - Accent6 4 9" xfId="1127" xr:uid="{D0F5419F-AC96-4FDA-84A2-ADF2529D3346}"/>
    <cellStyle name="40% - Accent6 5" xfId="666" xr:uid="{00000000-0005-0000-0000-0000BF000000}"/>
    <cellStyle name="40% - Accent6 5 2" xfId="4594" xr:uid="{D476E997-65F3-4A67-9E19-57A375411AB8}"/>
    <cellStyle name="40% - Accent6 5 2 2" xfId="8812" xr:uid="{BA08FF9F-14D7-488C-BA66-257D96C07AAF}"/>
    <cellStyle name="40% - Accent6 5 3" xfId="6667" xr:uid="{DA0985BC-5329-4BB9-97ED-5166CED33742}"/>
    <cellStyle name="40% - Accent6 5 4" xfId="2363" xr:uid="{9A162479-76FA-4241-9981-8D4FCB29A87E}"/>
    <cellStyle name="40% - Accent6 5 5" xfId="1536" xr:uid="{9C8A3810-B5E7-4CE1-A8D8-DA97E9B8DA28}"/>
    <cellStyle name="40% - Accent6 5 6" xfId="10902" xr:uid="{D4B4F213-F9FD-42FB-B863-433E7071BAFC}"/>
    <cellStyle name="40% - Accent6 6" xfId="2778" xr:uid="{0E18E660-6882-4A56-8F0F-0123C62BACED}"/>
    <cellStyle name="40% - Accent6 6 2" xfId="5007" xr:uid="{78395F43-612E-4021-8CBA-11B201B8C715}"/>
    <cellStyle name="40% - Accent6 6 2 2" xfId="9225" xr:uid="{127C494E-E1BB-4F27-857B-1E5CE978D832}"/>
    <cellStyle name="40% - Accent6 6 3" xfId="7080" xr:uid="{BE04114E-B46D-4DD5-A494-E4265384C631}"/>
    <cellStyle name="40% - Accent6 7" xfId="3191" xr:uid="{4D606C31-10B5-477B-B70A-CF3D92CB8434}"/>
    <cellStyle name="40% - Accent6 7 2" xfId="5420" xr:uid="{3A298010-08A4-43D1-BD09-4033E033327D}"/>
    <cellStyle name="40% - Accent6 7 2 2" xfId="9638" xr:uid="{52610BE8-986C-4EB0-B266-2A15C68A185E}"/>
    <cellStyle name="40% - Accent6 7 3" xfId="7493" xr:uid="{73DAF546-D3D6-4A8D-8789-071FA20F759C}"/>
    <cellStyle name="40% - Accent6 8" xfId="3604" xr:uid="{EB06E21E-9AC0-4B0D-A5E5-6D4196A21ECA}"/>
    <cellStyle name="40% - Accent6 8 2" xfId="5833" xr:uid="{3779BA5F-DDBC-4C2A-A60C-BDF65EF016D7}"/>
    <cellStyle name="40% - Accent6 8 2 2" xfId="10051" xr:uid="{BDF1091D-7F85-4292-B6E2-1B8E724511F0}"/>
    <cellStyle name="40% - Accent6 8 3" xfId="7906" xr:uid="{9F210612-F754-4BE3-B2FE-59A9DF5868A6}"/>
    <cellStyle name="40% - Accent6 9" xfId="4017" xr:uid="{2D6E4686-DD52-4FF1-915C-0CCEFD4854DD}"/>
    <cellStyle name="40% - Accent6 9 2" xfId="8319" xr:uid="{F00CD3E1-6C7B-4B08-800E-4E73A931C354}"/>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10" xfId="4425" xr:uid="{7D362D8E-062C-4F2C-BA89-F2ED2880634E}"/>
    <cellStyle name="Comma 4 2 2 2 10 2" xfId="8644" xr:uid="{B4B129FD-056C-4E26-8E71-90DCCA8327F7}"/>
    <cellStyle name="Comma 4 2 2 2 11" xfId="6261" xr:uid="{00883339-880A-4FD3-9208-13FC7C85591D}"/>
    <cellStyle name="Comma 4 2 2 2 12" xfId="1957" xr:uid="{636A5A31-0633-4402-AE62-4F5106D51F48}"/>
    <cellStyle name="Comma 4 2 2 2 13" xfId="1128" xr:uid="{DED90286-A276-46AA-80F3-8A109B328E42}"/>
    <cellStyle name="Comma 4 2 2 2 14" xfId="10494" xr:uid="{F0955499-31F2-4408-BD3E-01D86C819DE9}"/>
    <cellStyle name="Comma 4 2 2 2 2" xfId="129" xr:uid="{00000000-0005-0000-0000-0000E0000000}"/>
    <cellStyle name="Comma 4 2 2 2 2 10" xfId="6262" xr:uid="{8D89C16D-54CC-447B-8DFD-68F65E19BC1F}"/>
    <cellStyle name="Comma 4 2 2 2 2 11" xfId="1958" xr:uid="{5E077D5F-47E9-4465-8025-95FC1B1ADFD3}"/>
    <cellStyle name="Comma 4 2 2 2 2 12" xfId="1129" xr:uid="{ECDA0DCB-B79D-42E7-8C45-8B9C69F41030}"/>
    <cellStyle name="Comma 4 2 2 2 2 13" xfId="10495" xr:uid="{8D3608DB-C49C-4C8F-B817-E25C91133ED6}"/>
    <cellStyle name="Comma 4 2 2 2 2 2" xfId="130" xr:uid="{00000000-0005-0000-0000-0000E1000000}"/>
    <cellStyle name="Comma 4 2 2 2 2 2 10" xfId="1959" xr:uid="{6016E3C4-F5D6-446A-B4D7-815D123164D3}"/>
    <cellStyle name="Comma 4 2 2 2 2 2 11" xfId="1130" xr:uid="{F942698C-7145-4F66-A5E7-21D38BA8D60F}"/>
    <cellStyle name="Comma 4 2 2 2 2 2 12" xfId="10496" xr:uid="{BA9F6123-937A-4800-A89F-FA26225B757E}"/>
    <cellStyle name="Comma 4 2 2 2 2 2 2" xfId="676" xr:uid="{00000000-0005-0000-0000-0000E2000000}"/>
    <cellStyle name="Comma 4 2 2 2 2 2 2 2" xfId="4604" xr:uid="{FD135B58-E79C-494F-BD09-CF38B6708920}"/>
    <cellStyle name="Comma 4 2 2 2 2 2 2 2 2" xfId="8822" xr:uid="{CF860C78-836A-4C7F-94D9-843568F5E109}"/>
    <cellStyle name="Comma 4 2 2 2 2 2 2 3" xfId="6677" xr:uid="{150ED57F-F00A-4241-A9DD-D7A299C81A62}"/>
    <cellStyle name="Comma 4 2 2 2 2 2 2 4" xfId="2373" xr:uid="{59C8609E-1858-43E2-B0E8-768DDA8CF173}"/>
    <cellStyle name="Comma 4 2 2 2 2 2 2 5" xfId="1546" xr:uid="{AF6346B4-B4F7-4DCB-AD8A-68FA104F2515}"/>
    <cellStyle name="Comma 4 2 2 2 2 2 2 6" xfId="10912" xr:uid="{5911B0B0-04E7-493A-94EA-94AD9C2A605C}"/>
    <cellStyle name="Comma 4 2 2 2 2 2 3" xfId="2788" xr:uid="{0CE06D08-653B-45D4-ACAE-47FCC42B6EAF}"/>
    <cellStyle name="Comma 4 2 2 2 2 2 3 2" xfId="5017" xr:uid="{D20AF20D-C66B-48EF-A98E-957578A33A24}"/>
    <cellStyle name="Comma 4 2 2 2 2 2 3 2 2" xfId="9235" xr:uid="{C903EDEE-C3B6-4EFA-909D-B2EB4269AB72}"/>
    <cellStyle name="Comma 4 2 2 2 2 2 3 3" xfId="7090" xr:uid="{FC690BD6-5F24-4D13-8F3B-725A300C5118}"/>
    <cellStyle name="Comma 4 2 2 2 2 2 4" xfId="3201" xr:uid="{BD4D0FE0-2107-4502-B8B8-23942547ED20}"/>
    <cellStyle name="Comma 4 2 2 2 2 2 4 2" xfId="5430" xr:uid="{08FC3F81-A72E-4012-8708-78A4518AE79F}"/>
    <cellStyle name="Comma 4 2 2 2 2 2 4 2 2" xfId="9648" xr:uid="{6044D37E-97BD-4A21-BD82-5F56A10CFB9F}"/>
    <cellStyle name="Comma 4 2 2 2 2 2 4 3" xfId="7503" xr:uid="{63F222D7-BA0C-4273-8649-1F46945885BD}"/>
    <cellStyle name="Comma 4 2 2 2 2 2 5" xfId="3614" xr:uid="{B4478E18-DB44-4432-A637-33245315EE1B}"/>
    <cellStyle name="Comma 4 2 2 2 2 2 5 2" xfId="5843" xr:uid="{2928DD19-C333-43DD-9FBD-74E5561AD685}"/>
    <cellStyle name="Comma 4 2 2 2 2 2 5 2 2" xfId="10061" xr:uid="{9D4D5E10-6868-433B-87FA-2DBAC4E95F10}"/>
    <cellStyle name="Comma 4 2 2 2 2 2 5 3" xfId="7916" xr:uid="{BA89EB33-A7D1-4944-BC6F-F87FF498975F}"/>
    <cellStyle name="Comma 4 2 2 2 2 2 6" xfId="4049" xr:uid="{CA74378C-3BBB-47C3-8734-D68C54E17FA5}"/>
    <cellStyle name="Comma 4 2 2 2 2 2 6 2" xfId="8329" xr:uid="{9F391173-66BA-4940-A04B-2ACEE8F26D39}"/>
    <cellStyle name="Comma 4 2 2 2 2 2 7" xfId="4044" xr:uid="{17EA2513-4D4A-4365-B724-A0B3474185A5}"/>
    <cellStyle name="Comma 4 2 2 2 2 2 8" xfId="4427" xr:uid="{C527B1CD-1179-49EB-9DBF-A303AC4492DF}"/>
    <cellStyle name="Comma 4 2 2 2 2 2 8 2" xfId="8646" xr:uid="{D726CC04-CA5E-47C1-AB8E-61D027FAD2CB}"/>
    <cellStyle name="Comma 4 2 2 2 2 2 9" xfId="6263" xr:uid="{5A88B661-1223-4AFC-A36A-6DBEFFC0EB3B}"/>
    <cellStyle name="Comma 4 2 2 2 2 3" xfId="675" xr:uid="{00000000-0005-0000-0000-0000E3000000}"/>
    <cellStyle name="Comma 4 2 2 2 2 3 2" xfId="4603" xr:uid="{F075ED2C-D306-469F-9705-4B8BDD59E502}"/>
    <cellStyle name="Comma 4 2 2 2 2 3 2 2" xfId="8821" xr:uid="{A8B520E8-DA1E-4E1D-B38E-1D09C73F7BF4}"/>
    <cellStyle name="Comma 4 2 2 2 2 3 3" xfId="6676" xr:uid="{9E3A43BE-9B1A-4CFB-A8EA-204EF87BC592}"/>
    <cellStyle name="Comma 4 2 2 2 2 3 4" xfId="2372" xr:uid="{57F03B5C-AE7D-4D0F-8630-CA0921165EDB}"/>
    <cellStyle name="Comma 4 2 2 2 2 3 5" xfId="1545" xr:uid="{FBDB1DD9-5D25-439E-A85A-7BC6BA2AB844}"/>
    <cellStyle name="Comma 4 2 2 2 2 3 6" xfId="10911" xr:uid="{4B242F5C-5F11-421D-94C6-A1834CEA0681}"/>
    <cellStyle name="Comma 4 2 2 2 2 4" xfId="2787" xr:uid="{11F8C77D-1938-47FF-BC29-67262DF8F42C}"/>
    <cellStyle name="Comma 4 2 2 2 2 4 2" xfId="5016" xr:uid="{CCD61A6C-258E-426F-AEFF-6570D81BB608}"/>
    <cellStyle name="Comma 4 2 2 2 2 4 2 2" xfId="9234" xr:uid="{32F53C2A-AC4D-4DBE-B19A-791553CC56FC}"/>
    <cellStyle name="Comma 4 2 2 2 2 4 3" xfId="7089" xr:uid="{76B8E347-4336-4789-8D54-FCB06BBFABF2}"/>
    <cellStyle name="Comma 4 2 2 2 2 5" xfId="3200" xr:uid="{67728571-ECAB-4A36-9A34-5CC6D3AB7942}"/>
    <cellStyle name="Comma 4 2 2 2 2 5 2" xfId="5429" xr:uid="{DC732608-E5B2-40E1-9EDB-7D471BC193C3}"/>
    <cellStyle name="Comma 4 2 2 2 2 5 2 2" xfId="9647" xr:uid="{296C280E-5891-4CA3-AAD2-35F70CEB0A8E}"/>
    <cellStyle name="Comma 4 2 2 2 2 5 3" xfId="7502" xr:uid="{6223767E-6CD3-4895-8475-0C00DAFAEDB1}"/>
    <cellStyle name="Comma 4 2 2 2 2 6" xfId="3613" xr:uid="{DC528DD6-8F6E-4DAE-B685-95FBD20301AE}"/>
    <cellStyle name="Comma 4 2 2 2 2 6 2" xfId="5842" xr:uid="{C5D18AB6-85E9-428D-AE68-439D8567E41C}"/>
    <cellStyle name="Comma 4 2 2 2 2 6 2 2" xfId="10060" xr:uid="{69485B9D-A977-4DEB-B9EA-B3489F8E1BE4}"/>
    <cellStyle name="Comma 4 2 2 2 2 6 3" xfId="7915" xr:uid="{577110B4-77ED-4817-AE2E-0000E4A45211}"/>
    <cellStyle name="Comma 4 2 2 2 2 7" xfId="4048" xr:uid="{9DA5C262-7978-407F-8173-F9442E27C692}"/>
    <cellStyle name="Comma 4 2 2 2 2 7 2" xfId="8328" xr:uid="{B6628FC7-4F69-4A7E-A2B2-6CAD15B3F326}"/>
    <cellStyle name="Comma 4 2 2 2 2 8" xfId="4045" xr:uid="{429BD0C6-F910-46B8-872E-89C7DF67BB57}"/>
    <cellStyle name="Comma 4 2 2 2 2 9" xfId="4426" xr:uid="{69A9AD81-E923-4DF5-A65C-5F1A1649F83C}"/>
    <cellStyle name="Comma 4 2 2 2 2 9 2" xfId="8645" xr:uid="{A873F99F-064F-4BC1-B4E4-49096CCDE912}"/>
    <cellStyle name="Comma 4 2 2 2 3" xfId="131" xr:uid="{00000000-0005-0000-0000-0000E4000000}"/>
    <cellStyle name="Comma 4 2 2 2 3 10" xfId="1960" xr:uid="{7AEC7BBA-F162-4A12-B290-0D3B1F7EE4AC}"/>
    <cellStyle name="Comma 4 2 2 2 3 11" xfId="1131" xr:uid="{966C6702-E5AA-4099-9797-51D45CFD03F0}"/>
    <cellStyle name="Comma 4 2 2 2 3 12" xfId="10497" xr:uid="{56D97DD7-B60E-4331-8897-5411CFF52C2B}"/>
    <cellStyle name="Comma 4 2 2 2 3 2" xfId="677" xr:uid="{00000000-0005-0000-0000-0000E5000000}"/>
    <cellStyle name="Comma 4 2 2 2 3 2 2" xfId="4605" xr:uid="{0CD44EE2-C20B-4F0D-999B-74611DBE96D6}"/>
    <cellStyle name="Comma 4 2 2 2 3 2 2 2" xfId="8823" xr:uid="{DC7F9F72-31FE-487C-B4E7-F4DF5EAF99A0}"/>
    <cellStyle name="Comma 4 2 2 2 3 2 3" xfId="6678" xr:uid="{511501B0-D3C2-48A5-B708-B794B859F33C}"/>
    <cellStyle name="Comma 4 2 2 2 3 2 4" xfId="2374" xr:uid="{AFC8EAB1-460E-4E33-A865-919E583ABD11}"/>
    <cellStyle name="Comma 4 2 2 2 3 2 5" xfId="1547" xr:uid="{DAE36B94-42B5-44BF-873C-5E81B4DE71EC}"/>
    <cellStyle name="Comma 4 2 2 2 3 2 6" xfId="10913" xr:uid="{FBF1AA94-FA18-4F20-AC37-A1A1CDF455D7}"/>
    <cellStyle name="Comma 4 2 2 2 3 3" xfId="2789" xr:uid="{4632C2B1-2E20-4AC7-9F50-31BC0237550C}"/>
    <cellStyle name="Comma 4 2 2 2 3 3 2" xfId="5018" xr:uid="{A2669287-EC4C-463A-B34B-253EE82745CE}"/>
    <cellStyle name="Comma 4 2 2 2 3 3 2 2" xfId="9236" xr:uid="{917CB2BF-6220-4E45-9DE0-FFF58F724D42}"/>
    <cellStyle name="Comma 4 2 2 2 3 3 3" xfId="7091" xr:uid="{6B9FF59A-051D-4E4B-AF44-8388673BBA02}"/>
    <cellStyle name="Comma 4 2 2 2 3 4" xfId="3202" xr:uid="{E6DE3FF9-62A7-4041-8486-80A3F9F190DF}"/>
    <cellStyle name="Comma 4 2 2 2 3 4 2" xfId="5431" xr:uid="{4A1CB8A0-86E1-4360-888E-0AB322BF7C69}"/>
    <cellStyle name="Comma 4 2 2 2 3 4 2 2" xfId="9649" xr:uid="{BC85CB1E-BDE9-4F25-AB5B-24AC97A86602}"/>
    <cellStyle name="Comma 4 2 2 2 3 4 3" xfId="7504" xr:uid="{E1276930-0569-4E11-9809-9F21FC9760FD}"/>
    <cellStyle name="Comma 4 2 2 2 3 5" xfId="3615" xr:uid="{8C82FAD6-B714-4505-ADA7-C28E8B065AF7}"/>
    <cellStyle name="Comma 4 2 2 2 3 5 2" xfId="5844" xr:uid="{13A830B3-A108-404B-BE90-E249C375A0C8}"/>
    <cellStyle name="Comma 4 2 2 2 3 5 2 2" xfId="10062" xr:uid="{466D6A9F-7F9E-4A16-86FB-50F87587F977}"/>
    <cellStyle name="Comma 4 2 2 2 3 5 3" xfId="7917" xr:uid="{9648EBD7-5796-406F-8A3B-D7521DAE5449}"/>
    <cellStyle name="Comma 4 2 2 2 3 6" xfId="4050" xr:uid="{566FB817-D942-4665-A57B-CB502E292DB9}"/>
    <cellStyle name="Comma 4 2 2 2 3 6 2" xfId="8330" xr:uid="{66CCD69F-2571-4780-B98A-FA352171DE52}"/>
    <cellStyle name="Comma 4 2 2 2 3 7" xfId="4043" xr:uid="{469C11ED-6626-448C-AF70-F3ED3EC7F1D2}"/>
    <cellStyle name="Comma 4 2 2 2 3 8" xfId="4428" xr:uid="{CF250154-2BA5-4FCD-BE45-9D6259C3CD22}"/>
    <cellStyle name="Comma 4 2 2 2 3 8 2" xfId="8647" xr:uid="{73DF520E-2C3B-4DFA-A7BE-E872BA9FF35D}"/>
    <cellStyle name="Comma 4 2 2 2 3 9" xfId="6264" xr:uid="{F1F706DC-84C6-464C-AA20-5A46695559E8}"/>
    <cellStyle name="Comma 4 2 2 2 4" xfId="674" xr:uid="{00000000-0005-0000-0000-0000E6000000}"/>
    <cellStyle name="Comma 4 2 2 2 4 2" xfId="4602" xr:uid="{6A261705-741C-4D4F-9D19-57C6C584A727}"/>
    <cellStyle name="Comma 4 2 2 2 4 2 2" xfId="8820" xr:uid="{7DCDB74D-D2DD-42BB-99B5-AFD3F53E9CAE}"/>
    <cellStyle name="Comma 4 2 2 2 4 3" xfId="6675" xr:uid="{CCDDAAB5-A7A5-4EFA-A579-E78E87DB55CF}"/>
    <cellStyle name="Comma 4 2 2 2 4 4" xfId="2371" xr:uid="{C7656526-0683-48C2-B981-01B3DEE2E5F4}"/>
    <cellStyle name="Comma 4 2 2 2 4 5" xfId="1544" xr:uid="{750527F1-B638-4CB0-AAF1-EAB5BB7D0C4C}"/>
    <cellStyle name="Comma 4 2 2 2 4 6" xfId="10910" xr:uid="{B96037F8-D100-4AEC-B21C-117E2CABB877}"/>
    <cellStyle name="Comma 4 2 2 2 5" xfId="2786" xr:uid="{6585053F-957A-4883-804E-FD60F30D3C1F}"/>
    <cellStyle name="Comma 4 2 2 2 5 2" xfId="5015" xr:uid="{56FA29A9-924F-4867-A745-FA18306D2FA0}"/>
    <cellStyle name="Comma 4 2 2 2 5 2 2" xfId="9233" xr:uid="{4426E740-6A7D-45D2-A791-AD3E09D759B5}"/>
    <cellStyle name="Comma 4 2 2 2 5 3" xfId="7088" xr:uid="{F053B430-DEF6-4674-BA00-9AD3A3B421B4}"/>
    <cellStyle name="Comma 4 2 2 2 6" xfId="3199" xr:uid="{6AD4E6A1-D4FD-48AB-8955-B480B4FA73FB}"/>
    <cellStyle name="Comma 4 2 2 2 6 2" xfId="5428" xr:uid="{CF7361B5-497C-4A46-ADAB-769C786C70CB}"/>
    <cellStyle name="Comma 4 2 2 2 6 2 2" xfId="9646" xr:uid="{15838310-8D6C-43AF-97ED-FA007CB980FF}"/>
    <cellStyle name="Comma 4 2 2 2 6 3" xfId="7501" xr:uid="{47361ABF-1DC9-4AC6-BCFC-77C669FE364C}"/>
    <cellStyle name="Comma 4 2 2 2 7" xfId="3612" xr:uid="{3A7AD382-577F-4B60-AAA4-9E7DC7CE023E}"/>
    <cellStyle name="Comma 4 2 2 2 7 2" xfId="5841" xr:uid="{FDDE6B1B-9C87-4B41-AA2C-CE9A8B4AD329}"/>
    <cellStyle name="Comma 4 2 2 2 7 2 2" xfId="10059" xr:uid="{D69D633E-88D6-4ADF-A70E-26FF1068ADFC}"/>
    <cellStyle name="Comma 4 2 2 2 7 3" xfId="7914" xr:uid="{2A0AF216-696C-4BD5-93F0-E789EEE1AFDC}"/>
    <cellStyle name="Comma 4 2 2 2 8" xfId="4047" xr:uid="{728B45AE-21A3-451D-9108-AE9300B0B3D8}"/>
    <cellStyle name="Comma 4 2 2 2 8 2" xfId="8327" xr:uid="{0F0BDADE-6AAF-40BD-A756-0FFF0E9191D6}"/>
    <cellStyle name="Comma 4 2 2 2 9" xfId="4046" xr:uid="{D9F2B4CF-C649-4E59-8F67-47A8DEF91666}"/>
    <cellStyle name="Comma 4 2 2 3" xfId="132" xr:uid="{00000000-0005-0000-0000-0000E7000000}"/>
    <cellStyle name="Comma 4 2 2 3 10" xfId="6265" xr:uid="{350182B8-AB96-468B-A30C-8D3333B10BB6}"/>
    <cellStyle name="Comma 4 2 2 3 11" xfId="1961" xr:uid="{D3F2D3FC-55BE-4150-AF13-76939F30FE71}"/>
    <cellStyle name="Comma 4 2 2 3 12" xfId="1132" xr:uid="{CC5F9B2F-028E-41D2-88C2-AF001A90F4F5}"/>
    <cellStyle name="Comma 4 2 2 3 13" xfId="10498" xr:uid="{9E981EF6-4697-4AFD-8D66-1616043CE6A3}"/>
    <cellStyle name="Comma 4 2 2 3 2" xfId="133" xr:uid="{00000000-0005-0000-0000-0000E8000000}"/>
    <cellStyle name="Comma 4 2 2 3 2 10" xfId="1962" xr:uid="{E3B87BFD-BE0B-436D-B2CB-B13F72AA2B9E}"/>
    <cellStyle name="Comma 4 2 2 3 2 11" xfId="1133" xr:uid="{5DFFCF8F-7C7E-47DD-ABE7-A02CF69C26F2}"/>
    <cellStyle name="Comma 4 2 2 3 2 12" xfId="10499" xr:uid="{EB87F67A-1735-4E9F-8091-F18718D0E841}"/>
    <cellStyle name="Comma 4 2 2 3 2 2" xfId="679" xr:uid="{00000000-0005-0000-0000-0000E9000000}"/>
    <cellStyle name="Comma 4 2 2 3 2 2 2" xfId="4607" xr:uid="{5A7B5E84-AAFD-4333-87B0-A94295B514B9}"/>
    <cellStyle name="Comma 4 2 2 3 2 2 2 2" xfId="8825" xr:uid="{49FA5351-39B1-4484-B1A1-D39E51CDAC7C}"/>
    <cellStyle name="Comma 4 2 2 3 2 2 3" xfId="6680" xr:uid="{1B17F27B-B953-4978-887C-E9CF88CE6086}"/>
    <cellStyle name="Comma 4 2 2 3 2 2 4" xfId="2376" xr:uid="{EDFED6C6-43B5-4292-BBFE-FC1F0A77F2B2}"/>
    <cellStyle name="Comma 4 2 2 3 2 2 5" xfId="1549" xr:uid="{7D764932-51F4-4A95-90D3-55C0E9D7CC7F}"/>
    <cellStyle name="Comma 4 2 2 3 2 2 6" xfId="10915" xr:uid="{BA146C2F-DE9F-4D05-8E72-8F5DA5BDA3A4}"/>
    <cellStyle name="Comma 4 2 2 3 2 3" xfId="2791" xr:uid="{5B8F4A9B-9E98-4722-BAC0-F723AAC39A10}"/>
    <cellStyle name="Comma 4 2 2 3 2 3 2" xfId="5020" xr:uid="{A1F541E5-40C6-4D05-A81F-C9969BAD9134}"/>
    <cellStyle name="Comma 4 2 2 3 2 3 2 2" xfId="9238" xr:uid="{B2F5463B-B00A-4B52-96E3-2F195C5FDD5B}"/>
    <cellStyle name="Comma 4 2 2 3 2 3 3" xfId="7093" xr:uid="{F06E41EF-BD87-4A26-88B4-F3723802DC1F}"/>
    <cellStyle name="Comma 4 2 2 3 2 4" xfId="3204" xr:uid="{6FDCACC9-9556-4461-8231-72AE0D5FD2EA}"/>
    <cellStyle name="Comma 4 2 2 3 2 4 2" xfId="5433" xr:uid="{4594B149-70FE-4989-81C6-D68CF8FE5570}"/>
    <cellStyle name="Comma 4 2 2 3 2 4 2 2" xfId="9651" xr:uid="{8CA80DBC-5C1E-401A-81CC-C12D46F82D41}"/>
    <cellStyle name="Comma 4 2 2 3 2 4 3" xfId="7506" xr:uid="{4A70302D-4003-482C-87BF-783955810284}"/>
    <cellStyle name="Comma 4 2 2 3 2 5" xfId="3617" xr:uid="{121DB5B0-08F9-48A0-AB2D-A533974A9F32}"/>
    <cellStyle name="Comma 4 2 2 3 2 5 2" xfId="5846" xr:uid="{17D19D89-D783-4B3D-9DCA-A64A3A5542A5}"/>
    <cellStyle name="Comma 4 2 2 3 2 5 2 2" xfId="10064" xr:uid="{25D8BFAF-68A6-4242-8629-1F154B8A891C}"/>
    <cellStyle name="Comma 4 2 2 3 2 5 3" xfId="7919" xr:uid="{98E31423-380D-469C-A266-9F05A0D56651}"/>
    <cellStyle name="Comma 4 2 2 3 2 6" xfId="4052" xr:uid="{590DB4E2-268F-492C-A4D1-959E602855B3}"/>
    <cellStyle name="Comma 4 2 2 3 2 6 2" xfId="8332" xr:uid="{CF793554-B927-4432-8CE7-F3C019BC2779}"/>
    <cellStyle name="Comma 4 2 2 3 2 7" xfId="4041" xr:uid="{8B5466AD-DCFF-42D2-91FA-6BA00093F9EC}"/>
    <cellStyle name="Comma 4 2 2 3 2 8" xfId="4430" xr:uid="{D49655C4-87A7-415E-A19F-12C229A15D36}"/>
    <cellStyle name="Comma 4 2 2 3 2 8 2" xfId="8649" xr:uid="{E82BAEED-AC47-4295-BD5D-48479FEB18A9}"/>
    <cellStyle name="Comma 4 2 2 3 2 9" xfId="6266" xr:uid="{976E7D71-B27D-472E-BA5C-CD266D2F5EBC}"/>
    <cellStyle name="Comma 4 2 2 3 3" xfId="678" xr:uid="{00000000-0005-0000-0000-0000EA000000}"/>
    <cellStyle name="Comma 4 2 2 3 3 2" xfId="4606" xr:uid="{71DE236B-5EAD-4271-9D4B-032A389E5818}"/>
    <cellStyle name="Comma 4 2 2 3 3 2 2" xfId="8824" xr:uid="{02859CD3-8F25-4533-9EF9-807D860A7156}"/>
    <cellStyle name="Comma 4 2 2 3 3 3" xfId="6679" xr:uid="{05B1CDAE-B694-4594-9BB2-319186348507}"/>
    <cellStyle name="Comma 4 2 2 3 3 4" xfId="2375" xr:uid="{4015D4DA-359D-4568-BE96-AB433D8C3C8A}"/>
    <cellStyle name="Comma 4 2 2 3 3 5" xfId="1548" xr:uid="{BDD5F397-8CA6-4BA6-AA4E-142E7CFCD1C2}"/>
    <cellStyle name="Comma 4 2 2 3 3 6" xfId="10914" xr:uid="{5AEF5276-921E-462F-82FC-CA2D3E00F92E}"/>
    <cellStyle name="Comma 4 2 2 3 4" xfId="2790" xr:uid="{98F84176-9521-4124-9BDA-ADCC0E8C79E5}"/>
    <cellStyle name="Comma 4 2 2 3 4 2" xfId="5019" xr:uid="{75D4B01D-6AD0-4C0E-98A3-88FCB77400C0}"/>
    <cellStyle name="Comma 4 2 2 3 4 2 2" xfId="9237" xr:uid="{762D454E-9B21-4EFF-A8A4-C9F743B90528}"/>
    <cellStyle name="Comma 4 2 2 3 4 3" xfId="7092" xr:uid="{A3D1E8B0-760E-4027-9DEF-90EA1B2A4035}"/>
    <cellStyle name="Comma 4 2 2 3 5" xfId="3203" xr:uid="{AE858F49-F299-4418-B94B-9F881833B1FD}"/>
    <cellStyle name="Comma 4 2 2 3 5 2" xfId="5432" xr:uid="{131132AA-B7D2-4E42-B495-5FCD1E7A9EFA}"/>
    <cellStyle name="Comma 4 2 2 3 5 2 2" xfId="9650" xr:uid="{D94757B5-CB36-4476-BE16-A20503B982BF}"/>
    <cellStyle name="Comma 4 2 2 3 5 3" xfId="7505" xr:uid="{523846DB-4B06-46C9-90B9-44763511DB85}"/>
    <cellStyle name="Comma 4 2 2 3 6" xfId="3616" xr:uid="{7E3C613B-62F5-4AA0-8FF8-BCEFA1CCC4B9}"/>
    <cellStyle name="Comma 4 2 2 3 6 2" xfId="5845" xr:uid="{C1A60AF6-A4B2-4359-903D-B603F675324A}"/>
    <cellStyle name="Comma 4 2 2 3 6 2 2" xfId="10063" xr:uid="{F0FEA30D-C53F-4CEA-B399-CC9BD1EA1062}"/>
    <cellStyle name="Comma 4 2 2 3 6 3" xfId="7918" xr:uid="{B3E5E2D4-C215-4CAF-A7BD-8318F976938F}"/>
    <cellStyle name="Comma 4 2 2 3 7" xfId="4051" xr:uid="{7F9693F5-FBC6-4477-81B4-B563585CEEC7}"/>
    <cellStyle name="Comma 4 2 2 3 7 2" xfId="8331" xr:uid="{46F61810-3725-4B54-95AC-E1AE63082733}"/>
    <cellStyle name="Comma 4 2 2 3 8" xfId="4042" xr:uid="{83CE5B26-E14E-4F14-8A45-E6F5B6ED3AD6}"/>
    <cellStyle name="Comma 4 2 2 3 9" xfId="4429" xr:uid="{ADEB12C6-E71D-48C5-BBC3-E6DD4869EC79}"/>
    <cellStyle name="Comma 4 2 2 3 9 2" xfId="8648" xr:uid="{D038462A-BEEA-403E-8DBC-37DCEFE0F415}"/>
    <cellStyle name="Comma 4 2 2 4" xfId="134" xr:uid="{00000000-0005-0000-0000-0000EB000000}"/>
    <cellStyle name="Comma 4 2 2 4 10" xfId="1963" xr:uid="{421890FE-4A98-42DE-9EE6-75820B4620D7}"/>
    <cellStyle name="Comma 4 2 2 4 11" xfId="1134" xr:uid="{5C26520C-BED8-4B0A-B9E8-EB411F56ED71}"/>
    <cellStyle name="Comma 4 2 2 4 12" xfId="10500" xr:uid="{BCE1C28B-B050-4ED6-BC46-5D8CE99E3404}"/>
    <cellStyle name="Comma 4 2 2 4 2" xfId="680" xr:uid="{00000000-0005-0000-0000-0000EC000000}"/>
    <cellStyle name="Comma 4 2 2 4 2 2" xfId="4608" xr:uid="{FC562CFB-3019-4C70-AFF0-4F4F6FC6FE80}"/>
    <cellStyle name="Comma 4 2 2 4 2 2 2" xfId="8826" xr:uid="{DF24C94B-34D4-4F9E-AF8B-16910C5A91DF}"/>
    <cellStyle name="Comma 4 2 2 4 2 3" xfId="6681" xr:uid="{3DE9A96D-5407-443B-A24A-888C34361A0A}"/>
    <cellStyle name="Comma 4 2 2 4 2 4" xfId="2377" xr:uid="{F4FAF997-8EE3-4AE7-AC2D-73FC3E2143E3}"/>
    <cellStyle name="Comma 4 2 2 4 2 5" xfId="1550" xr:uid="{D325E955-D3ED-4F1A-A799-24285A070789}"/>
    <cellStyle name="Comma 4 2 2 4 2 6" xfId="10916" xr:uid="{8EB12752-6ACC-4294-BAF1-9D55BAD978A9}"/>
    <cellStyle name="Comma 4 2 2 4 3" xfId="2792" xr:uid="{06C02524-77DD-4C28-80B5-97E9ED67D4E5}"/>
    <cellStyle name="Comma 4 2 2 4 3 2" xfId="5021" xr:uid="{2898CCFC-D764-4DA9-B3F6-C46AD915CE8F}"/>
    <cellStyle name="Comma 4 2 2 4 3 2 2" xfId="9239" xr:uid="{23D7BF77-AD8B-48A5-90C4-DE617E73B902}"/>
    <cellStyle name="Comma 4 2 2 4 3 3" xfId="7094" xr:uid="{341EB15D-4E50-4657-A447-A657B647D8CE}"/>
    <cellStyle name="Comma 4 2 2 4 4" xfId="3205" xr:uid="{E571704B-C311-42FF-90BD-F89A13997CF9}"/>
    <cellStyle name="Comma 4 2 2 4 4 2" xfId="5434" xr:uid="{2E14E15C-33CC-45B3-83DB-0EAABA7F26C0}"/>
    <cellStyle name="Comma 4 2 2 4 4 2 2" xfId="9652" xr:uid="{1D87A9D4-0519-43E7-B313-844C5F241AFF}"/>
    <cellStyle name="Comma 4 2 2 4 4 3" xfId="7507" xr:uid="{D171EA66-3DAC-47E6-B165-CE7B0A2133B9}"/>
    <cellStyle name="Comma 4 2 2 4 5" xfId="3618" xr:uid="{216ED0EF-2561-44E4-9522-571384A84260}"/>
    <cellStyle name="Comma 4 2 2 4 5 2" xfId="5847" xr:uid="{04733D4A-A564-4F84-8B03-FD6510F8B30E}"/>
    <cellStyle name="Comma 4 2 2 4 5 2 2" xfId="10065" xr:uid="{5C3A75F5-73DA-46CC-850C-009B0B3172FB}"/>
    <cellStyle name="Comma 4 2 2 4 5 3" xfId="7920" xr:uid="{6A64948E-2A2D-4838-B778-6A46F211C510}"/>
    <cellStyle name="Comma 4 2 2 4 6" xfId="4053" xr:uid="{519EE2BA-B6FD-47E8-8D1A-CA3550FA7058}"/>
    <cellStyle name="Comma 4 2 2 4 6 2" xfId="8333" xr:uid="{09A1B93C-76D9-423A-AF4B-702C5B9472EF}"/>
    <cellStyle name="Comma 4 2 2 4 7" xfId="4040" xr:uid="{99DE01D1-1D03-49C2-BF6E-D0C589B0267A}"/>
    <cellStyle name="Comma 4 2 2 4 8" xfId="4431" xr:uid="{C6FF890E-BC97-4ABE-9B96-C30176B47B70}"/>
    <cellStyle name="Comma 4 2 2 4 8 2" xfId="8650" xr:uid="{74F824B5-6302-46A9-875F-E982F9BBCA2E}"/>
    <cellStyle name="Comma 4 2 2 4 9" xfId="6267" xr:uid="{C7F3069F-DD24-4441-8823-6EC59DFCC821}"/>
    <cellStyle name="Comma 4 2 2 5" xfId="135" xr:uid="{00000000-0005-0000-0000-0000ED000000}"/>
    <cellStyle name="Comma 4 2 2 5 10" xfId="1964" xr:uid="{1E85CF42-3923-4FDA-AA0E-C83C12349CBD}"/>
    <cellStyle name="Comma 4 2 2 5 11" xfId="1135" xr:uid="{3FC21F21-5192-4ED4-92D2-7A20F5F2E8D2}"/>
    <cellStyle name="Comma 4 2 2 5 12" xfId="10501" xr:uid="{5448605F-02DD-4185-8E13-3D475526CC10}"/>
    <cellStyle name="Comma 4 2 2 5 2" xfId="681" xr:uid="{00000000-0005-0000-0000-0000EE000000}"/>
    <cellStyle name="Comma 4 2 2 5 2 2" xfId="4609" xr:uid="{D1D38ABE-1B4F-4E3A-8740-35A2059F2079}"/>
    <cellStyle name="Comma 4 2 2 5 2 2 2" xfId="8827" xr:uid="{3986AE00-27BC-4A01-9F44-CE80998D9F96}"/>
    <cellStyle name="Comma 4 2 2 5 2 3" xfId="6682" xr:uid="{34B6FFB0-D3A2-4429-BE8D-F65DBF4E2DAA}"/>
    <cellStyle name="Comma 4 2 2 5 2 4" xfId="2378" xr:uid="{266AFF27-4A64-4375-8BEB-B61E45989B31}"/>
    <cellStyle name="Comma 4 2 2 5 2 5" xfId="1551" xr:uid="{3BAB207A-F48A-4282-B392-C60EDC8CACB3}"/>
    <cellStyle name="Comma 4 2 2 5 2 6" xfId="10917" xr:uid="{865E7440-E323-4B98-96E7-56B43C2E69C1}"/>
    <cellStyle name="Comma 4 2 2 5 3" xfId="2793" xr:uid="{622BBC2A-FC75-4F58-AC68-C9F9388369FA}"/>
    <cellStyle name="Comma 4 2 2 5 3 2" xfId="5022" xr:uid="{030213F1-BC72-4757-ACBC-E707D2928579}"/>
    <cellStyle name="Comma 4 2 2 5 3 2 2" xfId="9240" xr:uid="{52D74BDD-60B7-4C96-BE1F-0717BA4462D4}"/>
    <cellStyle name="Comma 4 2 2 5 3 3" xfId="7095" xr:uid="{928E2C8E-87D1-4121-AB9E-D079E88948E3}"/>
    <cellStyle name="Comma 4 2 2 5 4" xfId="3206" xr:uid="{F8306D6E-8E60-461C-93D6-9439C9210BF8}"/>
    <cellStyle name="Comma 4 2 2 5 4 2" xfId="5435" xr:uid="{07513690-BA8F-4CA6-87AA-50D7C3EF592D}"/>
    <cellStyle name="Comma 4 2 2 5 4 2 2" xfId="9653" xr:uid="{86C74AAB-AF70-41BE-8997-2E5A0894E004}"/>
    <cellStyle name="Comma 4 2 2 5 4 3" xfId="7508" xr:uid="{56E1B6F7-B019-42DE-995F-7A06F8CD0AA2}"/>
    <cellStyle name="Comma 4 2 2 5 5" xfId="3619" xr:uid="{CF9854E3-0316-4800-AF03-35EC7C1FDE0D}"/>
    <cellStyle name="Comma 4 2 2 5 5 2" xfId="5848" xr:uid="{8BF283C5-5E7E-45F6-B11A-5CBE63FF6507}"/>
    <cellStyle name="Comma 4 2 2 5 5 2 2" xfId="10066" xr:uid="{C7FD62DD-CAD7-46E8-9E8E-60623B30356A}"/>
    <cellStyle name="Comma 4 2 2 5 5 3" xfId="7921" xr:uid="{4D9BDE26-37A8-4890-8532-5D9EDE04E30E}"/>
    <cellStyle name="Comma 4 2 2 5 6" xfId="4054" xr:uid="{77B30D17-85B3-462F-9B58-033DDEF21405}"/>
    <cellStyle name="Comma 4 2 2 5 6 2" xfId="8334" xr:uid="{F429F7DE-6B72-4EB1-9595-CAF06D76A095}"/>
    <cellStyle name="Comma 4 2 2 5 7" xfId="4039" xr:uid="{334ACDAF-C66B-45F9-B67B-E65B75C20292}"/>
    <cellStyle name="Comma 4 2 2 5 8" xfId="4432" xr:uid="{64A421CF-4EEC-41BE-893D-7F4783FA6B31}"/>
    <cellStyle name="Comma 4 2 2 5 8 2" xfId="8651" xr:uid="{17508C3E-2D8E-40C8-9330-4E9786D327A1}"/>
    <cellStyle name="Comma 4 2 2 5 9" xfId="6268" xr:uid="{BF2D69D1-81FF-44E5-A267-DAB7847E8678}"/>
    <cellStyle name="Comma 4 2 3" xfId="136" xr:uid="{00000000-0005-0000-0000-0000EF000000}"/>
    <cellStyle name="Comma 4 2 3 10" xfId="4433" xr:uid="{2DD02EC8-AA58-434F-B064-E08549550ECE}"/>
    <cellStyle name="Comma 4 2 3 10 2" xfId="8652" xr:uid="{7ACC0D28-CA39-42CF-A86A-D1C2EC340DCD}"/>
    <cellStyle name="Comma 4 2 3 11" xfId="6269" xr:uid="{49E92706-B493-4BE9-A681-A8CB5D6DEBA1}"/>
    <cellStyle name="Comma 4 2 3 12" xfId="1965" xr:uid="{C7F578FC-B483-48F4-86F4-19549F0A5007}"/>
    <cellStyle name="Comma 4 2 3 13" xfId="1136" xr:uid="{5CE1DD89-4ECB-46AC-8946-B44BA00057AE}"/>
    <cellStyle name="Comma 4 2 3 14" xfId="10502" xr:uid="{808A56F7-A83A-4CB2-9BA6-F54B5A073419}"/>
    <cellStyle name="Comma 4 2 3 2" xfId="137" xr:uid="{00000000-0005-0000-0000-0000F0000000}"/>
    <cellStyle name="Comma 4 2 3 2 10" xfId="6270" xr:uid="{FE996F4F-A93C-4E36-A03E-BECDDB8CC82B}"/>
    <cellStyle name="Comma 4 2 3 2 11" xfId="1966" xr:uid="{BC67A64F-BA93-4395-98CC-8E99828672B9}"/>
    <cellStyle name="Comma 4 2 3 2 12" xfId="1137" xr:uid="{D21DB693-C743-4D03-BCA4-A172F73E62E1}"/>
    <cellStyle name="Comma 4 2 3 2 13" xfId="10503" xr:uid="{C4800B70-8B88-4D90-8BD6-9F35E9DF399B}"/>
    <cellStyle name="Comma 4 2 3 2 2" xfId="138" xr:uid="{00000000-0005-0000-0000-0000F1000000}"/>
    <cellStyle name="Comma 4 2 3 2 2 10" xfId="1967" xr:uid="{07502B11-3906-475B-9926-1F5454115BA9}"/>
    <cellStyle name="Comma 4 2 3 2 2 11" xfId="1138" xr:uid="{1603A224-F9DE-482A-8B50-44D459831DF2}"/>
    <cellStyle name="Comma 4 2 3 2 2 12" xfId="10504" xr:uid="{C275C78A-4829-4135-9622-AD356F5F46AA}"/>
    <cellStyle name="Comma 4 2 3 2 2 2" xfId="684" xr:uid="{00000000-0005-0000-0000-0000F2000000}"/>
    <cellStyle name="Comma 4 2 3 2 2 2 2" xfId="4612" xr:uid="{017F54DA-63A0-4297-8468-98B34DA39924}"/>
    <cellStyle name="Comma 4 2 3 2 2 2 2 2" xfId="8830" xr:uid="{2C344D07-DD5D-472F-8138-505D6414EE43}"/>
    <cellStyle name="Comma 4 2 3 2 2 2 3" xfId="6685" xr:uid="{1BE776F5-BD23-4835-8742-F43E7C631D10}"/>
    <cellStyle name="Comma 4 2 3 2 2 2 4" xfId="2381" xr:uid="{0844A195-4B0D-4EB1-9498-B4121C176D02}"/>
    <cellStyle name="Comma 4 2 3 2 2 2 5" xfId="1554" xr:uid="{9139217E-8F9F-4148-9CB5-075CF8E97892}"/>
    <cellStyle name="Comma 4 2 3 2 2 2 6" xfId="10920" xr:uid="{1747EA37-DE7D-41CE-90EB-6EB3D05A759C}"/>
    <cellStyle name="Comma 4 2 3 2 2 3" xfId="2796" xr:uid="{04E5E0A8-53B5-487D-A082-100FE2495E26}"/>
    <cellStyle name="Comma 4 2 3 2 2 3 2" xfId="5025" xr:uid="{C093F158-6215-4FA8-9352-B5A017A88E67}"/>
    <cellStyle name="Comma 4 2 3 2 2 3 2 2" xfId="9243" xr:uid="{40F5B4BE-4989-4ABD-B3FA-F2A13D636FC6}"/>
    <cellStyle name="Comma 4 2 3 2 2 3 3" xfId="7098" xr:uid="{34292901-D7AD-4140-99D7-0A7EBAC97308}"/>
    <cellStyle name="Comma 4 2 3 2 2 4" xfId="3209" xr:uid="{BBEDA68D-6AEF-466B-B8ED-259658F90D67}"/>
    <cellStyle name="Comma 4 2 3 2 2 4 2" xfId="5438" xr:uid="{2F16B0B6-3791-4A15-8065-BEE81F3A7881}"/>
    <cellStyle name="Comma 4 2 3 2 2 4 2 2" xfId="9656" xr:uid="{AE3DEFB4-54FA-4CAD-98F4-C9C8F581EDFA}"/>
    <cellStyle name="Comma 4 2 3 2 2 4 3" xfId="7511" xr:uid="{60449B72-755A-4B7B-B0B3-DB65C5DD7EF6}"/>
    <cellStyle name="Comma 4 2 3 2 2 5" xfId="3622" xr:uid="{0E537634-1F22-456F-9FF6-094C69EA1FEC}"/>
    <cellStyle name="Comma 4 2 3 2 2 5 2" xfId="5851" xr:uid="{3BB4885F-91BE-41AB-BBB4-F1C06D09B587}"/>
    <cellStyle name="Comma 4 2 3 2 2 5 2 2" xfId="10069" xr:uid="{FC5B0680-FDBC-429A-9D37-FF8F700DEC04}"/>
    <cellStyle name="Comma 4 2 3 2 2 5 3" xfId="7924" xr:uid="{2DE0141C-95AC-45AB-B63F-A82A46B5C42D}"/>
    <cellStyle name="Comma 4 2 3 2 2 6" xfId="4057" xr:uid="{BCF75892-1172-4ACA-9023-F9AB61E3F4A8}"/>
    <cellStyle name="Comma 4 2 3 2 2 6 2" xfId="8337" xr:uid="{85D757E1-0954-41EF-BC3D-E44E6700D801}"/>
    <cellStyle name="Comma 4 2 3 2 2 7" xfId="4036" xr:uid="{834594E5-CF37-45E9-B3BC-FD964CC3E81B}"/>
    <cellStyle name="Comma 4 2 3 2 2 8" xfId="4435" xr:uid="{EAEE699C-6C42-4E2B-AC46-028D645477A4}"/>
    <cellStyle name="Comma 4 2 3 2 2 8 2" xfId="8654" xr:uid="{722FA05A-352A-465A-89CC-6B1210908CC4}"/>
    <cellStyle name="Comma 4 2 3 2 2 9" xfId="6271" xr:uid="{B0560D35-F683-4754-9BFF-0982649D1ACE}"/>
    <cellStyle name="Comma 4 2 3 2 3" xfId="683" xr:uid="{00000000-0005-0000-0000-0000F3000000}"/>
    <cellStyle name="Comma 4 2 3 2 3 2" xfId="4611" xr:uid="{E75A954A-495E-45AD-8D02-562778672EBB}"/>
    <cellStyle name="Comma 4 2 3 2 3 2 2" xfId="8829" xr:uid="{B902BDD2-38BF-4CAB-AAB0-732AACC78A2F}"/>
    <cellStyle name="Comma 4 2 3 2 3 3" xfId="6684" xr:uid="{F50AC5C0-CD07-4522-95FE-E900DD79F0E5}"/>
    <cellStyle name="Comma 4 2 3 2 3 4" xfId="2380" xr:uid="{495B229B-5F68-4958-B1C6-E56844907D2D}"/>
    <cellStyle name="Comma 4 2 3 2 3 5" xfId="1553" xr:uid="{F0A7D8F0-1B9E-4F26-AA40-251842B91095}"/>
    <cellStyle name="Comma 4 2 3 2 3 6" xfId="10919" xr:uid="{F593C32B-826C-49FD-A5BE-5BA1C79546F6}"/>
    <cellStyle name="Comma 4 2 3 2 4" xfId="2795" xr:uid="{F5B10B59-FB8D-4C29-B3C4-D72E252CAF32}"/>
    <cellStyle name="Comma 4 2 3 2 4 2" xfId="5024" xr:uid="{CF414182-A9EA-4DF6-83D8-8052CB9F9852}"/>
    <cellStyle name="Comma 4 2 3 2 4 2 2" xfId="9242" xr:uid="{AD99A137-5C93-4C8B-8685-02F4F0EB532C}"/>
    <cellStyle name="Comma 4 2 3 2 4 3" xfId="7097" xr:uid="{5E8F4B66-A892-49E2-9CE9-E9B9F4ACD513}"/>
    <cellStyle name="Comma 4 2 3 2 5" xfId="3208" xr:uid="{790B98CA-3822-4880-B5D7-A11B9F62D9E0}"/>
    <cellStyle name="Comma 4 2 3 2 5 2" xfId="5437" xr:uid="{473F477A-EBA4-49D0-8F93-BD150C51DB6D}"/>
    <cellStyle name="Comma 4 2 3 2 5 2 2" xfId="9655" xr:uid="{90CCB388-22DB-4BF8-8D41-56FA4EA6845E}"/>
    <cellStyle name="Comma 4 2 3 2 5 3" xfId="7510" xr:uid="{6B929F7D-D913-4136-88EC-80D3C504BE3C}"/>
    <cellStyle name="Comma 4 2 3 2 6" xfId="3621" xr:uid="{41FC04D5-99C8-403E-A6E4-A8A785EBADBB}"/>
    <cellStyle name="Comma 4 2 3 2 6 2" xfId="5850" xr:uid="{E7131BF0-14DC-4390-BBB3-A80B9B661A85}"/>
    <cellStyle name="Comma 4 2 3 2 6 2 2" xfId="10068" xr:uid="{76C59EED-D88B-46F4-90C8-92CC647F74B9}"/>
    <cellStyle name="Comma 4 2 3 2 6 3" xfId="7923" xr:uid="{6325FEB7-B645-40B5-B6F9-3B659C1F704A}"/>
    <cellStyle name="Comma 4 2 3 2 7" xfId="4056" xr:uid="{FF411AFB-5D65-4D95-807C-622AF14698CD}"/>
    <cellStyle name="Comma 4 2 3 2 7 2" xfId="8336" xr:uid="{6761D369-F151-484F-83D0-6C87EFC416E4}"/>
    <cellStyle name="Comma 4 2 3 2 8" xfId="4037" xr:uid="{96ECA498-5422-4A56-AE06-2E1E37656124}"/>
    <cellStyle name="Comma 4 2 3 2 9" xfId="4434" xr:uid="{D268BA8D-79B3-41C5-A85B-9708AEF76B4D}"/>
    <cellStyle name="Comma 4 2 3 2 9 2" xfId="8653" xr:uid="{43D1CC1F-2F03-4F10-B201-362B689F0BB4}"/>
    <cellStyle name="Comma 4 2 3 3" xfId="139" xr:uid="{00000000-0005-0000-0000-0000F4000000}"/>
    <cellStyle name="Comma 4 2 3 3 10" xfId="1968" xr:uid="{5A6A8BD9-6CA0-4350-BA5F-8FFB26E9FFC8}"/>
    <cellStyle name="Comma 4 2 3 3 11" xfId="1139" xr:uid="{B16056F9-1508-424E-B82E-A7178924E0E5}"/>
    <cellStyle name="Comma 4 2 3 3 12" xfId="10505" xr:uid="{AAAD673C-352C-405C-9DDD-F701F07D8D0C}"/>
    <cellStyle name="Comma 4 2 3 3 2" xfId="685" xr:uid="{00000000-0005-0000-0000-0000F5000000}"/>
    <cellStyle name="Comma 4 2 3 3 2 2" xfId="4613" xr:uid="{339C046F-5B1E-4F1E-A0B7-43B3A4B223A6}"/>
    <cellStyle name="Comma 4 2 3 3 2 2 2" xfId="8831" xr:uid="{D41DB358-ED96-4171-AE3D-3636768156AC}"/>
    <cellStyle name="Comma 4 2 3 3 2 3" xfId="6686" xr:uid="{F99B003D-876B-43BB-9C50-081793CD2FC4}"/>
    <cellStyle name="Comma 4 2 3 3 2 4" xfId="2382" xr:uid="{6F8743F1-21E0-4B59-818A-37D92CFABC3C}"/>
    <cellStyle name="Comma 4 2 3 3 2 5" xfId="1555" xr:uid="{C763B688-E3FF-47DF-9885-F1270157FB9A}"/>
    <cellStyle name="Comma 4 2 3 3 2 6" xfId="10921" xr:uid="{772C0131-C512-4F42-8F52-75BD62C105D1}"/>
    <cellStyle name="Comma 4 2 3 3 3" xfId="2797" xr:uid="{65ABAD7A-D285-4215-BBA3-4C7A60A56F69}"/>
    <cellStyle name="Comma 4 2 3 3 3 2" xfId="5026" xr:uid="{7D71F9B8-A957-4CED-86D8-575D2AD65617}"/>
    <cellStyle name="Comma 4 2 3 3 3 2 2" xfId="9244" xr:uid="{1EB4A8F1-2845-400F-ABE5-9962C9A82D72}"/>
    <cellStyle name="Comma 4 2 3 3 3 3" xfId="7099" xr:uid="{2F7D5C85-00F7-45A9-88D9-2A5318214711}"/>
    <cellStyle name="Comma 4 2 3 3 4" xfId="3210" xr:uid="{3C1597AD-56BB-4012-B3B1-492BDF816A47}"/>
    <cellStyle name="Comma 4 2 3 3 4 2" xfId="5439" xr:uid="{0BCDF311-3503-4A45-BEB9-2D17257E9901}"/>
    <cellStyle name="Comma 4 2 3 3 4 2 2" xfId="9657" xr:uid="{7A37C400-1663-4D4F-9D15-BC3E2CE7B885}"/>
    <cellStyle name="Comma 4 2 3 3 4 3" xfId="7512" xr:uid="{4E62524F-FC57-4CF9-9622-D552F8B58C66}"/>
    <cellStyle name="Comma 4 2 3 3 5" xfId="3623" xr:uid="{28EBE4BC-AE41-46CB-8F65-8BA7EB556157}"/>
    <cellStyle name="Comma 4 2 3 3 5 2" xfId="5852" xr:uid="{01D08BE3-3FA0-401F-A2FE-6F741B0A8CD0}"/>
    <cellStyle name="Comma 4 2 3 3 5 2 2" xfId="10070" xr:uid="{7D2EA9DD-D63A-4E72-912B-8B7B4C9EE9AC}"/>
    <cellStyle name="Comma 4 2 3 3 5 3" xfId="7925" xr:uid="{23CF36F7-62E0-4E2D-84FD-ECC08EE331EE}"/>
    <cellStyle name="Comma 4 2 3 3 6" xfId="4058" xr:uid="{B6774FB4-0947-4EB3-B7BD-23F5932D897C}"/>
    <cellStyle name="Comma 4 2 3 3 6 2" xfId="8338" xr:uid="{470C4B00-36A5-41F8-B8A3-E41392917998}"/>
    <cellStyle name="Comma 4 2 3 3 7" xfId="4035" xr:uid="{C15CEC5D-959D-4E5B-BC4A-0871514D4A33}"/>
    <cellStyle name="Comma 4 2 3 3 8" xfId="4436" xr:uid="{D21C1D03-1642-43BC-86C9-B5880C1723FB}"/>
    <cellStyle name="Comma 4 2 3 3 8 2" xfId="8655" xr:uid="{D8E948AB-700E-429D-893D-027EF9DDC0B0}"/>
    <cellStyle name="Comma 4 2 3 3 9" xfId="6272" xr:uid="{8ED1CDC1-6157-427F-8C11-F9B36E29E258}"/>
    <cellStyle name="Comma 4 2 3 4" xfId="682" xr:uid="{00000000-0005-0000-0000-0000F6000000}"/>
    <cellStyle name="Comma 4 2 3 4 2" xfId="4610" xr:uid="{87F6C29E-A478-44DC-80DE-36258B7AA06C}"/>
    <cellStyle name="Comma 4 2 3 4 2 2" xfId="8828" xr:uid="{B56417CA-F722-407F-9FCA-1FB3B2EA0DA9}"/>
    <cellStyle name="Comma 4 2 3 4 3" xfId="6683" xr:uid="{A03E7EA2-96B3-49C1-9F87-DF97625C773A}"/>
    <cellStyle name="Comma 4 2 3 4 4" xfId="2379" xr:uid="{76D86286-1826-4264-84BC-D31C6B214596}"/>
    <cellStyle name="Comma 4 2 3 4 5" xfId="1552" xr:uid="{8861AD60-D67F-4AD9-B1BC-60719A4CE812}"/>
    <cellStyle name="Comma 4 2 3 4 6" xfId="10918" xr:uid="{9534EC83-BF56-468F-B669-73A8169FED64}"/>
    <cellStyle name="Comma 4 2 3 5" xfId="2794" xr:uid="{8A00DD18-2891-406F-AF0B-D09AE5EC450D}"/>
    <cellStyle name="Comma 4 2 3 5 2" xfId="5023" xr:uid="{609AC854-A907-4CEF-8A0D-00F8195E2D3D}"/>
    <cellStyle name="Comma 4 2 3 5 2 2" xfId="9241" xr:uid="{6CA55C3D-6D43-49AC-B758-52C4EA6B2037}"/>
    <cellStyle name="Comma 4 2 3 5 3" xfId="7096" xr:uid="{22B2A2A4-F28E-4752-97A8-791011A71E05}"/>
    <cellStyle name="Comma 4 2 3 6" xfId="3207" xr:uid="{A87B6057-FB0A-446D-BE23-F8CADC54263C}"/>
    <cellStyle name="Comma 4 2 3 6 2" xfId="5436" xr:uid="{5EE2BCFC-17D0-4BC6-865F-E44DA58FC1B7}"/>
    <cellStyle name="Comma 4 2 3 6 2 2" xfId="9654" xr:uid="{21C651C8-C949-4E38-AE20-72FBECBFD2D0}"/>
    <cellStyle name="Comma 4 2 3 6 3" xfId="7509" xr:uid="{C11E7F11-52A9-4AB6-8D25-BA006B8BEA1D}"/>
    <cellStyle name="Comma 4 2 3 7" xfId="3620" xr:uid="{54B5B3D1-EC62-4A41-A7C0-8ECA23F63826}"/>
    <cellStyle name="Comma 4 2 3 7 2" xfId="5849" xr:uid="{C3F7BF9E-673B-46CE-9EB9-11A873439145}"/>
    <cellStyle name="Comma 4 2 3 7 2 2" xfId="10067" xr:uid="{D30B063D-5083-471F-B95A-BCC12A80C8AD}"/>
    <cellStyle name="Comma 4 2 3 7 3" xfId="7922" xr:uid="{07F3A725-4B43-45A5-A36E-7DFBB42E613D}"/>
    <cellStyle name="Comma 4 2 3 8" xfId="4055" xr:uid="{E70B2AAF-9716-4E7A-8D10-9E1E960E99E2}"/>
    <cellStyle name="Comma 4 2 3 8 2" xfId="8335" xr:uid="{3895E536-7BA2-4787-A313-6A0CC90EB394}"/>
    <cellStyle name="Comma 4 2 3 9" xfId="4038" xr:uid="{4A46F8AA-D581-46A7-AC2C-26CE9328D95C}"/>
    <cellStyle name="Comma 4 2 4" xfId="140" xr:uid="{00000000-0005-0000-0000-0000F7000000}"/>
    <cellStyle name="Comma 4 2 4 10" xfId="6273" xr:uid="{B72E7A41-62C0-4E26-A6D4-B2D47AC5EAE7}"/>
    <cellStyle name="Comma 4 2 4 11" xfId="1969" xr:uid="{C492E45D-51F8-49C8-A16A-D31A9B9BE944}"/>
    <cellStyle name="Comma 4 2 4 12" xfId="1140" xr:uid="{FF74FB9F-7761-45F8-AF75-02A041D45F8F}"/>
    <cellStyle name="Comma 4 2 4 13" xfId="10506" xr:uid="{508B5207-B032-4CA2-B01B-190776AF1C91}"/>
    <cellStyle name="Comma 4 2 4 2" xfId="141" xr:uid="{00000000-0005-0000-0000-0000F8000000}"/>
    <cellStyle name="Comma 4 2 4 2 10" xfId="1970" xr:uid="{DFA93838-54D9-4959-BC03-D5553CCD897D}"/>
    <cellStyle name="Comma 4 2 4 2 11" xfId="1141" xr:uid="{34DDFAE6-D682-438E-A384-F7DD1AA3997D}"/>
    <cellStyle name="Comma 4 2 4 2 12" xfId="10507" xr:uid="{34C45CDC-1C92-44E7-A98D-9429316E45E3}"/>
    <cellStyle name="Comma 4 2 4 2 2" xfId="687" xr:uid="{00000000-0005-0000-0000-0000F9000000}"/>
    <cellStyle name="Comma 4 2 4 2 2 2" xfId="4615" xr:uid="{746B2D28-D862-4F46-81FC-9B767811F534}"/>
    <cellStyle name="Comma 4 2 4 2 2 2 2" xfId="8833" xr:uid="{0ABC3480-FB88-4BFA-83A5-EC45C5A41E97}"/>
    <cellStyle name="Comma 4 2 4 2 2 3" xfId="6688" xr:uid="{B9920C0C-8125-484D-855C-694AB3F79DA2}"/>
    <cellStyle name="Comma 4 2 4 2 2 4" xfId="2384" xr:uid="{E6F05668-A6A3-4DC9-9074-B0ACF7EB2617}"/>
    <cellStyle name="Comma 4 2 4 2 2 5" xfId="1557" xr:uid="{0CEC04DF-1B34-455F-9EA4-17AA69B37F67}"/>
    <cellStyle name="Comma 4 2 4 2 2 6" xfId="10923" xr:uid="{C1C412D7-11D9-41B9-B864-81ED57BAA5F5}"/>
    <cellStyle name="Comma 4 2 4 2 3" xfId="2799" xr:uid="{13337C6B-9524-49D5-9465-10118872ECD6}"/>
    <cellStyle name="Comma 4 2 4 2 3 2" xfId="5028" xr:uid="{DFC3E80E-4627-442B-8447-396E36E80C71}"/>
    <cellStyle name="Comma 4 2 4 2 3 2 2" xfId="9246" xr:uid="{D00FBBAA-EAA4-43AD-B7F4-EB2E4BD0918F}"/>
    <cellStyle name="Comma 4 2 4 2 3 3" xfId="7101" xr:uid="{9FF7AF1A-9A36-4071-9493-91BE34E8ADC8}"/>
    <cellStyle name="Comma 4 2 4 2 4" xfId="3212" xr:uid="{9F3A7AAA-2307-4CE5-B4B2-ABBE4A71F995}"/>
    <cellStyle name="Comma 4 2 4 2 4 2" xfId="5441" xr:uid="{4D6FFF1F-0201-40AA-9390-7484D2EE49F3}"/>
    <cellStyle name="Comma 4 2 4 2 4 2 2" xfId="9659" xr:uid="{E106150F-949A-4B30-BC96-403E38AFAC68}"/>
    <cellStyle name="Comma 4 2 4 2 4 3" xfId="7514" xr:uid="{1C81EA72-1032-457C-BCB7-93C10E968AAF}"/>
    <cellStyle name="Comma 4 2 4 2 5" xfId="3625" xr:uid="{1C45CFA9-B016-40B3-9456-C7DA582B46E4}"/>
    <cellStyle name="Comma 4 2 4 2 5 2" xfId="5854" xr:uid="{80FAF47E-8D10-430F-89F4-E102D70D9145}"/>
    <cellStyle name="Comma 4 2 4 2 5 2 2" xfId="10072" xr:uid="{5A46D0E9-2B51-4037-946F-0EF766F6A814}"/>
    <cellStyle name="Comma 4 2 4 2 5 3" xfId="7927" xr:uid="{7987A68E-A90B-49FA-80B5-DFECE6C2E829}"/>
    <cellStyle name="Comma 4 2 4 2 6" xfId="4060" xr:uid="{BD78118E-5B57-487F-AE06-235C7E09A319}"/>
    <cellStyle name="Comma 4 2 4 2 6 2" xfId="8340" xr:uid="{4A880BAA-AA50-4F58-BA2E-76172986989D}"/>
    <cellStyle name="Comma 4 2 4 2 7" xfId="4033" xr:uid="{F7AFA3CF-591E-4368-966B-E3A0CEDBBDB2}"/>
    <cellStyle name="Comma 4 2 4 2 8" xfId="4438" xr:uid="{811F660D-CD73-4FCB-AB52-30D937AB4812}"/>
    <cellStyle name="Comma 4 2 4 2 8 2" xfId="8657" xr:uid="{B2D153F1-53D2-4077-B9B2-03D66346C6FC}"/>
    <cellStyle name="Comma 4 2 4 2 9" xfId="6274" xr:uid="{E51CFC28-11E5-42DA-B2DD-0659B61889A4}"/>
    <cellStyle name="Comma 4 2 4 3" xfId="686" xr:uid="{00000000-0005-0000-0000-0000FA000000}"/>
    <cellStyle name="Comma 4 2 4 3 2" xfId="4614" xr:uid="{29580BB2-41C7-470F-BCF9-89985CE5F7AE}"/>
    <cellStyle name="Comma 4 2 4 3 2 2" xfId="8832" xr:uid="{D98BC55C-22AC-4135-8DC8-4C18CB018AD3}"/>
    <cellStyle name="Comma 4 2 4 3 3" xfId="6687" xr:uid="{DA65ABAE-70B0-47AC-B29B-3A4DDF2248E2}"/>
    <cellStyle name="Comma 4 2 4 3 4" xfId="2383" xr:uid="{BA10FE40-16AF-46FD-83A4-2371444D2578}"/>
    <cellStyle name="Comma 4 2 4 3 5" xfId="1556" xr:uid="{79D55EDB-1595-4AD5-86BC-8997BCCF9007}"/>
    <cellStyle name="Comma 4 2 4 3 6" xfId="10922" xr:uid="{849D997F-6E57-4D3B-95D0-65268578CD69}"/>
    <cellStyle name="Comma 4 2 4 4" xfId="2798" xr:uid="{819FFD87-C770-4D06-9CB7-A9BC5333A832}"/>
    <cellStyle name="Comma 4 2 4 4 2" xfId="5027" xr:uid="{AA4DAB44-B790-44A2-8A0D-77F8B38BD21E}"/>
    <cellStyle name="Comma 4 2 4 4 2 2" xfId="9245" xr:uid="{1C428982-AC48-4A68-9F55-4F307317CA1E}"/>
    <cellStyle name="Comma 4 2 4 4 3" xfId="7100" xr:uid="{9B22521D-6711-4484-8F07-38DB2A0B52E2}"/>
    <cellStyle name="Comma 4 2 4 5" xfId="3211" xr:uid="{24DD46B8-FE40-45C9-B725-53F00E0A34D7}"/>
    <cellStyle name="Comma 4 2 4 5 2" xfId="5440" xr:uid="{0F0B32D3-9383-4015-AFBD-D41C868F672F}"/>
    <cellStyle name="Comma 4 2 4 5 2 2" xfId="9658" xr:uid="{E4383585-FECA-4E6E-B8BE-9FB6CF9E62E9}"/>
    <cellStyle name="Comma 4 2 4 5 3" xfId="7513" xr:uid="{BC543448-76AE-410A-A35A-156771A83D05}"/>
    <cellStyle name="Comma 4 2 4 6" xfId="3624" xr:uid="{E5CF3F3A-9FDA-4EA4-B6A4-0499C65DC365}"/>
    <cellStyle name="Comma 4 2 4 6 2" xfId="5853" xr:uid="{62C3A27F-2054-4630-A4FF-27DE38C7A66D}"/>
    <cellStyle name="Comma 4 2 4 6 2 2" xfId="10071" xr:uid="{0DA918AB-33EF-4500-A9A2-846926A6095F}"/>
    <cellStyle name="Comma 4 2 4 6 3" xfId="7926" xr:uid="{161D3A81-0A0E-4473-8F5A-6335D825F0F6}"/>
    <cellStyle name="Comma 4 2 4 7" xfId="4059" xr:uid="{939B21F7-5796-43D0-8ABA-08126A448A14}"/>
    <cellStyle name="Comma 4 2 4 7 2" xfId="8339" xr:uid="{CBD31F0F-13B3-4514-979A-0C9411C5134D}"/>
    <cellStyle name="Comma 4 2 4 8" xfId="4034" xr:uid="{0D3EEA6A-001F-4A4B-B75B-7714435A3D18}"/>
    <cellStyle name="Comma 4 2 4 9" xfId="4437" xr:uid="{B448344B-AE14-44E1-877E-3DB36D4BE7C6}"/>
    <cellStyle name="Comma 4 2 4 9 2" xfId="8656" xr:uid="{EBB36F1D-961F-47B0-9E75-F228B5BDB4CA}"/>
    <cellStyle name="Comma 4 2 5" xfId="142" xr:uid="{00000000-0005-0000-0000-0000FB000000}"/>
    <cellStyle name="Comma 4 2 5 10" xfId="1971" xr:uid="{2964739F-5A0C-4760-B7D5-410D235D0030}"/>
    <cellStyle name="Comma 4 2 5 11" xfId="1142" xr:uid="{10F783E5-C4C1-4859-9EF4-1637A648CD2C}"/>
    <cellStyle name="Comma 4 2 5 12" xfId="10508" xr:uid="{99C69876-99D7-449D-B17E-FA6E092B7A1C}"/>
    <cellStyle name="Comma 4 2 5 2" xfId="688" xr:uid="{00000000-0005-0000-0000-0000FC000000}"/>
    <cellStyle name="Comma 4 2 5 2 2" xfId="4616" xr:uid="{03942691-8B97-49DC-AB9E-C69A086F5BF6}"/>
    <cellStyle name="Comma 4 2 5 2 2 2" xfId="8834" xr:uid="{8F014773-B1C0-4A28-8DBD-8CE2DED0DA25}"/>
    <cellStyle name="Comma 4 2 5 2 3" xfId="6689" xr:uid="{179A4EEA-6030-4C50-B808-B40ABD61CDDD}"/>
    <cellStyle name="Comma 4 2 5 2 4" xfId="2385" xr:uid="{FF40D777-B29C-4BF3-A7DC-3B9821A3F7EF}"/>
    <cellStyle name="Comma 4 2 5 2 5" xfId="1558" xr:uid="{F0155569-8099-458E-A94C-F917047539E4}"/>
    <cellStyle name="Comma 4 2 5 2 6" xfId="10924" xr:uid="{0A146F4E-8F7C-45C9-97CC-F6E03AE9FC2F}"/>
    <cellStyle name="Comma 4 2 5 3" xfId="2800" xr:uid="{EAC5EC61-EACA-49EC-9F58-28EDAB0106F2}"/>
    <cellStyle name="Comma 4 2 5 3 2" xfId="5029" xr:uid="{88431428-6B60-476F-998E-FF4255794048}"/>
    <cellStyle name="Comma 4 2 5 3 2 2" xfId="9247" xr:uid="{3BA53263-67DA-4363-8412-0322CC666B90}"/>
    <cellStyle name="Comma 4 2 5 3 3" xfId="7102" xr:uid="{5D356F1D-AA28-4EA7-BF8A-D46E62CBA6BA}"/>
    <cellStyle name="Comma 4 2 5 4" xfId="3213" xr:uid="{139103CC-DFE7-4026-8D71-3BAF16F1CDB3}"/>
    <cellStyle name="Comma 4 2 5 4 2" xfId="5442" xr:uid="{5830545A-BFA7-4A4D-BF83-A3FF98ACAAB4}"/>
    <cellStyle name="Comma 4 2 5 4 2 2" xfId="9660" xr:uid="{7D451A50-B3C9-48B7-87D3-E169C44FF85E}"/>
    <cellStyle name="Comma 4 2 5 4 3" xfId="7515" xr:uid="{6B41319E-52B5-4862-91B6-5C7FFFEB0911}"/>
    <cellStyle name="Comma 4 2 5 5" xfId="3626" xr:uid="{31B0E450-CDDD-4C8B-BCCB-6E8959D6D543}"/>
    <cellStyle name="Comma 4 2 5 5 2" xfId="5855" xr:uid="{10826813-790F-4DD2-A2D7-F196130DCC4C}"/>
    <cellStyle name="Comma 4 2 5 5 2 2" xfId="10073" xr:uid="{55290339-0856-4083-B8D8-181F6548FD3D}"/>
    <cellStyle name="Comma 4 2 5 5 3" xfId="7928" xr:uid="{7E3AB96C-50D3-4394-BBD7-B4E2577D1498}"/>
    <cellStyle name="Comma 4 2 5 6" xfId="4061" xr:uid="{0983A106-1AF2-4F4A-8399-779857D3B440}"/>
    <cellStyle name="Comma 4 2 5 6 2" xfId="8341" xr:uid="{9E36E7DB-55DD-4FC7-B01A-D690EFE35FC7}"/>
    <cellStyle name="Comma 4 2 5 7" xfId="4032" xr:uid="{A1EF5BB2-0A7C-43D3-8FBA-F04D3580E7DF}"/>
    <cellStyle name="Comma 4 2 5 8" xfId="4439" xr:uid="{25CBD833-8BE0-4076-BEAA-EA6824584294}"/>
    <cellStyle name="Comma 4 2 5 8 2" xfId="8658" xr:uid="{02197E31-1306-448B-8117-7D4FED442A4B}"/>
    <cellStyle name="Comma 4 2 5 9" xfId="6275" xr:uid="{87DD3AD5-EF73-4EC5-B3A3-653C761C41C3}"/>
    <cellStyle name="Comma 4 2 6" xfId="143" xr:uid="{00000000-0005-0000-0000-0000FD000000}"/>
    <cellStyle name="Comma 4 2 6 10" xfId="1972" xr:uid="{4FD0B97C-0BE0-40F4-874C-70853C3122E3}"/>
    <cellStyle name="Comma 4 2 6 11" xfId="1143" xr:uid="{755D8182-2B40-4249-BE46-CA4DC7792C83}"/>
    <cellStyle name="Comma 4 2 6 12" xfId="10509" xr:uid="{F1C00891-1206-49DF-8958-C3739EE19353}"/>
    <cellStyle name="Comma 4 2 6 2" xfId="689" xr:uid="{00000000-0005-0000-0000-0000FE000000}"/>
    <cellStyle name="Comma 4 2 6 2 2" xfId="4617" xr:uid="{36F50E3A-9E7E-46F9-B32B-32FCD53CBFE9}"/>
    <cellStyle name="Comma 4 2 6 2 2 2" xfId="8835" xr:uid="{61B71409-5579-4EEC-9BF0-288349B6EAB9}"/>
    <cellStyle name="Comma 4 2 6 2 3" xfId="6690" xr:uid="{E6E4AA4A-54F3-496B-91D4-765A46DF4E78}"/>
    <cellStyle name="Comma 4 2 6 2 4" xfId="2386" xr:uid="{62D2EF84-D93C-4BB3-B992-A1F935CD8315}"/>
    <cellStyle name="Comma 4 2 6 2 5" xfId="1559" xr:uid="{7F5F80BF-504D-46E9-A7F0-5C21500D8E4E}"/>
    <cellStyle name="Comma 4 2 6 2 6" xfId="10925" xr:uid="{C36C057A-9EAD-4B9D-9B43-DD48B76B9831}"/>
    <cellStyle name="Comma 4 2 6 3" xfId="2801" xr:uid="{98711DB7-5934-46C4-88E0-A488D676A130}"/>
    <cellStyle name="Comma 4 2 6 3 2" xfId="5030" xr:uid="{1A6BE777-9D8A-4FC3-B1B7-FBAA14031545}"/>
    <cellStyle name="Comma 4 2 6 3 2 2" xfId="9248" xr:uid="{967AC7AD-D9B9-4DA3-AB3A-3A3CA9C53185}"/>
    <cellStyle name="Comma 4 2 6 3 3" xfId="7103" xr:uid="{37473B3A-2625-4A71-9FCB-84473DD3B2E6}"/>
    <cellStyle name="Comma 4 2 6 4" xfId="3214" xr:uid="{093D00F9-35D1-4321-8D95-03604B87CFE4}"/>
    <cellStyle name="Comma 4 2 6 4 2" xfId="5443" xr:uid="{862CB8D9-6AE6-4488-B346-8EC1F1084A1A}"/>
    <cellStyle name="Comma 4 2 6 4 2 2" xfId="9661" xr:uid="{1758FD15-EC48-4822-BCD4-81EB4611F471}"/>
    <cellStyle name="Comma 4 2 6 4 3" xfId="7516" xr:uid="{B61B9DAE-61FD-4885-A6CA-FD7B7B9698F3}"/>
    <cellStyle name="Comma 4 2 6 5" xfId="3627" xr:uid="{12A15CE7-C32F-4F61-B4A8-74E842722E8C}"/>
    <cellStyle name="Comma 4 2 6 5 2" xfId="5856" xr:uid="{E0385328-BAE6-4471-873C-B379BD39D17B}"/>
    <cellStyle name="Comma 4 2 6 5 2 2" xfId="10074" xr:uid="{1F1299FB-79F0-44CE-A611-C4F49EC24F8E}"/>
    <cellStyle name="Comma 4 2 6 5 3" xfId="7929" xr:uid="{F79127BF-626A-4A2C-9E67-F61CEFBB881D}"/>
    <cellStyle name="Comma 4 2 6 6" xfId="4062" xr:uid="{11D5BF20-052D-400E-920A-D38AB1F85F47}"/>
    <cellStyle name="Comma 4 2 6 6 2" xfId="8342" xr:uid="{72E9E301-6E6F-4F7E-8DA0-8309C643ECFA}"/>
    <cellStyle name="Comma 4 2 6 7" xfId="4031" xr:uid="{E63F158C-9A4A-49B6-AF66-A7926579F7A8}"/>
    <cellStyle name="Comma 4 2 6 8" xfId="4440" xr:uid="{B389EB85-9F8E-4860-8450-83D2DFF90734}"/>
    <cellStyle name="Comma 4 2 6 8 2" xfId="8659" xr:uid="{BDB7A151-E7B4-4139-AA7E-D1332331FD48}"/>
    <cellStyle name="Comma 4 2 6 9" xfId="6276" xr:uid="{A7AF5B97-871D-44ED-BD4B-300E62796D22}"/>
    <cellStyle name="Comma 4 3" xfId="144" xr:uid="{00000000-0005-0000-0000-0000FF000000}"/>
    <cellStyle name="Comma 4 3 2" xfId="145" xr:uid="{00000000-0005-0000-0000-000000010000}"/>
    <cellStyle name="Comma 4 3 2 10" xfId="4441" xr:uid="{6BF4F6E7-83BD-4838-8BA1-FE8B54DA50A4}"/>
    <cellStyle name="Comma 4 3 2 10 2" xfId="8660" xr:uid="{5BF6CB96-F329-46B0-BAB6-4DD187EC876E}"/>
    <cellStyle name="Comma 4 3 2 11" xfId="6277" xr:uid="{64286A4C-F9CB-4409-9463-678157794F1D}"/>
    <cellStyle name="Comma 4 3 2 12" xfId="1973" xr:uid="{3800DD3B-B88C-40D5-BFC1-C306516F23A9}"/>
    <cellStyle name="Comma 4 3 2 13" xfId="1144" xr:uid="{339F188C-6B98-4C18-A2EF-8E0FF7D184C9}"/>
    <cellStyle name="Comma 4 3 2 14" xfId="10510" xr:uid="{233D8BBE-713A-406D-98DC-E9CA2572E7B4}"/>
    <cellStyle name="Comma 4 3 2 2" xfId="146" xr:uid="{00000000-0005-0000-0000-000001010000}"/>
    <cellStyle name="Comma 4 3 2 2 10" xfId="6278" xr:uid="{0EA9CE53-9F06-4E6F-8AF3-10FC6ECDC4B2}"/>
    <cellStyle name="Comma 4 3 2 2 11" xfId="1974" xr:uid="{4FF99B8C-BE7D-4164-BE86-BD364ACFEFB4}"/>
    <cellStyle name="Comma 4 3 2 2 12" xfId="1145" xr:uid="{216EF5D4-2CEC-4B2C-A3C5-861390ED9C4B}"/>
    <cellStyle name="Comma 4 3 2 2 13" xfId="10511" xr:uid="{5E2FAA14-9941-49C7-8DAB-2D3307C56F18}"/>
    <cellStyle name="Comma 4 3 2 2 2" xfId="147" xr:uid="{00000000-0005-0000-0000-000002010000}"/>
    <cellStyle name="Comma 4 3 2 2 2 10" xfId="1975" xr:uid="{8C712312-FF2A-414C-81F3-71DD7FF4F2F8}"/>
    <cellStyle name="Comma 4 3 2 2 2 11" xfId="1146" xr:uid="{AEF326EC-D086-4042-A865-F4FC31F74083}"/>
    <cellStyle name="Comma 4 3 2 2 2 12" xfId="10512" xr:uid="{95C76903-5696-46CE-8E7F-600E9BD820D8}"/>
    <cellStyle name="Comma 4 3 2 2 2 2" xfId="692" xr:uid="{00000000-0005-0000-0000-000003010000}"/>
    <cellStyle name="Comma 4 3 2 2 2 2 2" xfId="4620" xr:uid="{72AE53C1-6489-4086-B86A-9A863634C44E}"/>
    <cellStyle name="Comma 4 3 2 2 2 2 2 2" xfId="8838" xr:uid="{06AD13D7-FD6B-4B59-99F6-163F76C506AF}"/>
    <cellStyle name="Comma 4 3 2 2 2 2 3" xfId="6693" xr:uid="{580EB98F-1E09-4D23-87EC-7234580DE163}"/>
    <cellStyle name="Comma 4 3 2 2 2 2 4" xfId="2389" xr:uid="{0897B03B-3940-42CB-B614-5DB4ADC5D0AE}"/>
    <cellStyle name="Comma 4 3 2 2 2 2 5" xfId="1562" xr:uid="{610FC9F3-ADA6-4C62-84B1-CC81C84A83E6}"/>
    <cellStyle name="Comma 4 3 2 2 2 2 6" xfId="10928" xr:uid="{44E767B4-4366-420B-A840-EB6F7DD3CB7F}"/>
    <cellStyle name="Comma 4 3 2 2 2 3" xfId="2804" xr:uid="{52361616-9CC9-44FC-9A18-266973BA8474}"/>
    <cellStyle name="Comma 4 3 2 2 2 3 2" xfId="5033" xr:uid="{467729FD-5C9E-48E9-AB81-451C36864064}"/>
    <cellStyle name="Comma 4 3 2 2 2 3 2 2" xfId="9251" xr:uid="{465A8CF7-6D60-4A52-A9F8-1BDBEA077F0D}"/>
    <cellStyle name="Comma 4 3 2 2 2 3 3" xfId="7106" xr:uid="{9806D627-85D8-42A2-B72B-DE2B9B074D1E}"/>
    <cellStyle name="Comma 4 3 2 2 2 4" xfId="3217" xr:uid="{E86DAA29-F183-4E70-AB92-859E9D0EF2C9}"/>
    <cellStyle name="Comma 4 3 2 2 2 4 2" xfId="5446" xr:uid="{63E61DE1-93CB-4A95-8980-0CEA4C01B726}"/>
    <cellStyle name="Comma 4 3 2 2 2 4 2 2" xfId="9664" xr:uid="{6EB089DA-47B2-4D0A-8DA8-BC9CF96B2C17}"/>
    <cellStyle name="Comma 4 3 2 2 2 4 3" xfId="7519" xr:uid="{DCBCD38E-06DE-4C0E-BDE0-59BD808A271C}"/>
    <cellStyle name="Comma 4 3 2 2 2 5" xfId="3630" xr:uid="{26A465E6-5DE3-47CB-A1A9-28988A6BEA62}"/>
    <cellStyle name="Comma 4 3 2 2 2 5 2" xfId="5859" xr:uid="{A6CD3384-EED9-4AB7-971A-4EC3366C8ED9}"/>
    <cellStyle name="Comma 4 3 2 2 2 5 2 2" xfId="10077" xr:uid="{38691F17-E0C1-45C8-A988-39FE5EA0DD0D}"/>
    <cellStyle name="Comma 4 3 2 2 2 5 3" xfId="7932" xr:uid="{FBAAFAB4-8720-4B4C-A725-D01AD3835C0A}"/>
    <cellStyle name="Comma 4 3 2 2 2 6" xfId="4065" xr:uid="{8CDBC2E7-B542-4A3D-BB0C-F40D172D453E}"/>
    <cellStyle name="Comma 4 3 2 2 2 6 2" xfId="8345" xr:uid="{2D13ED4A-5634-47FA-9AE1-47C57C7E6FFF}"/>
    <cellStyle name="Comma 4 3 2 2 2 7" xfId="4028" xr:uid="{7E79DB50-5449-4874-A91A-903C3D921D72}"/>
    <cellStyle name="Comma 4 3 2 2 2 8" xfId="4443" xr:uid="{115CCDEE-B94E-49E0-8F0B-F1AD4826284C}"/>
    <cellStyle name="Comma 4 3 2 2 2 8 2" xfId="8662" xr:uid="{8FE40DFE-1952-4A20-A65E-1F05D9DB9B4E}"/>
    <cellStyle name="Comma 4 3 2 2 2 9" xfId="6279" xr:uid="{215BE61E-8DF9-4E7D-8800-0BA49C21B2AA}"/>
    <cellStyle name="Comma 4 3 2 2 3" xfId="691" xr:uid="{00000000-0005-0000-0000-000004010000}"/>
    <cellStyle name="Comma 4 3 2 2 3 2" xfId="4619" xr:uid="{7DB20446-61EE-49EB-BAEC-3176AF641148}"/>
    <cellStyle name="Comma 4 3 2 2 3 2 2" xfId="8837" xr:uid="{6B1D8F28-F644-4B9A-9C82-456B7E574D34}"/>
    <cellStyle name="Comma 4 3 2 2 3 3" xfId="6692" xr:uid="{F81A7B2A-BE59-4839-863F-AF4083E13621}"/>
    <cellStyle name="Comma 4 3 2 2 3 4" xfId="2388" xr:uid="{7FA07D57-FBED-4A33-86B0-D11EF9BAABCA}"/>
    <cellStyle name="Comma 4 3 2 2 3 5" xfId="1561" xr:uid="{FFE10954-6BDE-46C5-A0B5-A29DDC15AF55}"/>
    <cellStyle name="Comma 4 3 2 2 3 6" xfId="10927" xr:uid="{7086EF55-B545-49AE-8E5B-8D9C7F8DC536}"/>
    <cellStyle name="Comma 4 3 2 2 4" xfId="2803" xr:uid="{C857E698-700C-4986-B15D-7E4B5B7C6ABB}"/>
    <cellStyle name="Comma 4 3 2 2 4 2" xfId="5032" xr:uid="{C220A253-A2D0-4A02-B780-7D45D1DC62C1}"/>
    <cellStyle name="Comma 4 3 2 2 4 2 2" xfId="9250" xr:uid="{7981E802-6A1E-410E-B478-D5FEFCDB6D70}"/>
    <cellStyle name="Comma 4 3 2 2 4 3" xfId="7105" xr:uid="{6C4835A0-B49F-4ABC-A0BC-823D27DAA6B5}"/>
    <cellStyle name="Comma 4 3 2 2 5" xfId="3216" xr:uid="{9723D854-5CB9-44C2-8657-031BF0FD89A4}"/>
    <cellStyle name="Comma 4 3 2 2 5 2" xfId="5445" xr:uid="{BF047272-3DF6-4AD7-9C26-FEA712B7AE9A}"/>
    <cellStyle name="Comma 4 3 2 2 5 2 2" xfId="9663" xr:uid="{998F2C71-F07A-4554-9F7A-6D7360C4076D}"/>
    <cellStyle name="Comma 4 3 2 2 5 3" xfId="7518" xr:uid="{BD6C9E1A-7037-4D46-8362-5837F68EE265}"/>
    <cellStyle name="Comma 4 3 2 2 6" xfId="3629" xr:uid="{2CB17B57-D755-48D3-BC49-C9009BD82AC0}"/>
    <cellStyle name="Comma 4 3 2 2 6 2" xfId="5858" xr:uid="{185B1943-C207-4640-8F0F-82FA00883867}"/>
    <cellStyle name="Comma 4 3 2 2 6 2 2" xfId="10076" xr:uid="{C180E596-8B42-4908-8139-AEBFF775F939}"/>
    <cellStyle name="Comma 4 3 2 2 6 3" xfId="7931" xr:uid="{975A2555-E262-492B-9B60-C010B88B4B5C}"/>
    <cellStyle name="Comma 4 3 2 2 7" xfId="4064" xr:uid="{517FE262-199C-4149-89D9-07D19803E6B2}"/>
    <cellStyle name="Comma 4 3 2 2 7 2" xfId="8344" xr:uid="{8841B711-D477-4DCC-A099-071A7FCE7E86}"/>
    <cellStyle name="Comma 4 3 2 2 8" xfId="4029" xr:uid="{3954A828-1C5C-4F1E-8167-DFB654CE52EF}"/>
    <cellStyle name="Comma 4 3 2 2 9" xfId="4442" xr:uid="{77891201-E5C2-4FB5-B4BA-E60BD79A705F}"/>
    <cellStyle name="Comma 4 3 2 2 9 2" xfId="8661" xr:uid="{317B0E9B-F591-409A-8D4D-289404A02C1D}"/>
    <cellStyle name="Comma 4 3 2 3" xfId="148" xr:uid="{00000000-0005-0000-0000-000005010000}"/>
    <cellStyle name="Comma 4 3 2 3 10" xfId="1976" xr:uid="{5FC45F84-BDCD-4FCD-8BA2-A01E691F0CF1}"/>
    <cellStyle name="Comma 4 3 2 3 11" xfId="1147" xr:uid="{C4710ECC-BEFF-4348-81D3-0873A1597731}"/>
    <cellStyle name="Comma 4 3 2 3 12" xfId="10513" xr:uid="{D94146BF-E6C4-4F3E-8284-B8C7E9ADE307}"/>
    <cellStyle name="Comma 4 3 2 3 2" xfId="693" xr:uid="{00000000-0005-0000-0000-000006010000}"/>
    <cellStyle name="Comma 4 3 2 3 2 2" xfId="4621" xr:uid="{1EA3D315-FB96-4523-90A4-A5B488B705B3}"/>
    <cellStyle name="Comma 4 3 2 3 2 2 2" xfId="8839" xr:uid="{229CEB25-E612-4C48-922B-F0694B4F2997}"/>
    <cellStyle name="Comma 4 3 2 3 2 3" xfId="6694" xr:uid="{5FD6C2FD-1766-4E55-A7A3-D2533CBCBEB5}"/>
    <cellStyle name="Comma 4 3 2 3 2 4" xfId="2390" xr:uid="{284F9E67-6DD7-48FB-BBC2-FC338348963D}"/>
    <cellStyle name="Comma 4 3 2 3 2 5" xfId="1563" xr:uid="{9C03450C-B60D-4F94-8B6B-B0251E63432B}"/>
    <cellStyle name="Comma 4 3 2 3 2 6" xfId="10929" xr:uid="{BE917346-8685-471A-873F-1BB375C7D9BE}"/>
    <cellStyle name="Comma 4 3 2 3 3" xfId="2805" xr:uid="{D91D50FA-A9F7-46E8-AF77-BF91ED9D481C}"/>
    <cellStyle name="Comma 4 3 2 3 3 2" xfId="5034" xr:uid="{3BD69CA4-C3D3-4586-B18C-AC7E90437B39}"/>
    <cellStyle name="Comma 4 3 2 3 3 2 2" xfId="9252" xr:uid="{8183BF1D-1837-462C-A2AC-3BEE8BAF23C8}"/>
    <cellStyle name="Comma 4 3 2 3 3 3" xfId="7107" xr:uid="{74BC529F-BACD-4E9F-9840-5D4CAC234767}"/>
    <cellStyle name="Comma 4 3 2 3 4" xfId="3218" xr:uid="{418ED1EC-420C-45FA-BC16-1A5E8DC73186}"/>
    <cellStyle name="Comma 4 3 2 3 4 2" xfId="5447" xr:uid="{8E239A4E-EA7E-4CD8-BD85-1F5AF8B180D8}"/>
    <cellStyle name="Comma 4 3 2 3 4 2 2" xfId="9665" xr:uid="{F1CE5D7B-0E02-4E11-9BC0-4BCD687F1D46}"/>
    <cellStyle name="Comma 4 3 2 3 4 3" xfId="7520" xr:uid="{B83DD1AD-45B4-45AB-97D7-48B057D21DB8}"/>
    <cellStyle name="Comma 4 3 2 3 5" xfId="3631" xr:uid="{5071A83D-6A28-4A26-A4FB-7629B355AE4E}"/>
    <cellStyle name="Comma 4 3 2 3 5 2" xfId="5860" xr:uid="{327B3A0A-7069-43DA-91CC-6C72207EB8BA}"/>
    <cellStyle name="Comma 4 3 2 3 5 2 2" xfId="10078" xr:uid="{216C38FF-6FF9-49BB-AA78-EDCC778BE8E6}"/>
    <cellStyle name="Comma 4 3 2 3 5 3" xfId="7933" xr:uid="{9F6D4B79-5202-4DD1-AD79-CA9C0B2368CF}"/>
    <cellStyle name="Comma 4 3 2 3 6" xfId="4066" xr:uid="{4A37BFFA-E5ED-40CE-9F91-4EC6C3751CDC}"/>
    <cellStyle name="Comma 4 3 2 3 6 2" xfId="8346" xr:uid="{528489AD-5995-48F0-8107-B7DD939E5922}"/>
    <cellStyle name="Comma 4 3 2 3 7" xfId="4027" xr:uid="{D3728EE8-89B9-44BE-A004-B3F1CFBCF2CA}"/>
    <cellStyle name="Comma 4 3 2 3 8" xfId="4444" xr:uid="{949032E4-9C58-43BA-A243-8D7913F0D945}"/>
    <cellStyle name="Comma 4 3 2 3 8 2" xfId="8663" xr:uid="{F5B0D683-8E3B-4759-802C-631101D8E2A4}"/>
    <cellStyle name="Comma 4 3 2 3 9" xfId="6280" xr:uid="{2AB07AB5-042E-492F-973A-D4AE5BA5D084}"/>
    <cellStyle name="Comma 4 3 2 4" xfId="690" xr:uid="{00000000-0005-0000-0000-000007010000}"/>
    <cellStyle name="Comma 4 3 2 4 2" xfId="4618" xr:uid="{D45F55F7-8FFC-46F6-8C49-A884AB64AAB6}"/>
    <cellStyle name="Comma 4 3 2 4 2 2" xfId="8836" xr:uid="{B081862F-9109-4A75-B520-B79029AAB30A}"/>
    <cellStyle name="Comma 4 3 2 4 3" xfId="6691" xr:uid="{BEBFAFB5-C702-4F4E-9EC4-C98D809B9F19}"/>
    <cellStyle name="Comma 4 3 2 4 4" xfId="2387" xr:uid="{B70C24ED-6EA7-4542-B3EB-D6F9F7A55FFD}"/>
    <cellStyle name="Comma 4 3 2 4 5" xfId="1560" xr:uid="{4E5F5088-FB15-4F32-B0E6-FD10867C49C3}"/>
    <cellStyle name="Comma 4 3 2 4 6" xfId="10926" xr:uid="{BA466D56-DA3E-44C5-AF8E-5B1F40A8A447}"/>
    <cellStyle name="Comma 4 3 2 5" xfId="2802" xr:uid="{C6E16DD1-F1BC-4FBC-90F3-E2497B014244}"/>
    <cellStyle name="Comma 4 3 2 5 2" xfId="5031" xr:uid="{F074EF54-A91E-421D-AB13-2C5AC4E91415}"/>
    <cellStyle name="Comma 4 3 2 5 2 2" xfId="9249" xr:uid="{833EAD3C-AB66-472D-81EE-BC58219422C9}"/>
    <cellStyle name="Comma 4 3 2 5 3" xfId="7104" xr:uid="{3D57EF4C-A07B-473A-B3DA-4E7A4D221C88}"/>
    <cellStyle name="Comma 4 3 2 6" xfId="3215" xr:uid="{7597595D-852D-4430-9EEC-181F0C158F0E}"/>
    <cellStyle name="Comma 4 3 2 6 2" xfId="5444" xr:uid="{B91F4266-BEC5-4598-826B-7AECD6A24273}"/>
    <cellStyle name="Comma 4 3 2 6 2 2" xfId="9662" xr:uid="{80850B9C-6E0A-4DA4-9754-009283E89798}"/>
    <cellStyle name="Comma 4 3 2 6 3" xfId="7517" xr:uid="{E5396D9F-E21C-459B-859F-C0357E2157C2}"/>
    <cellStyle name="Comma 4 3 2 7" xfId="3628" xr:uid="{10BC9882-CEEE-4717-A8B9-86FD2A419E69}"/>
    <cellStyle name="Comma 4 3 2 7 2" xfId="5857" xr:uid="{BBC8E3C1-C83F-46BC-BAD1-F17FAF07E076}"/>
    <cellStyle name="Comma 4 3 2 7 2 2" xfId="10075" xr:uid="{A9384C30-D9C0-4AD2-B413-86D34CF50AD6}"/>
    <cellStyle name="Comma 4 3 2 7 3" xfId="7930" xr:uid="{EBDAC3D1-8F4B-4F40-A0C5-9C4E0D74E329}"/>
    <cellStyle name="Comma 4 3 2 8" xfId="4063" xr:uid="{341F28F3-F39E-46A3-9880-57537B284156}"/>
    <cellStyle name="Comma 4 3 2 8 2" xfId="8343" xr:uid="{02F432A8-FCF0-4256-B007-F71021D28271}"/>
    <cellStyle name="Comma 4 3 2 9" xfId="4030" xr:uid="{1FF957D7-147A-403E-8A79-F2729CB7C761}"/>
    <cellStyle name="Comma 4 3 3" xfId="149" xr:uid="{00000000-0005-0000-0000-000008010000}"/>
    <cellStyle name="Comma 4 3 3 10" xfId="6281" xr:uid="{C25F6C2F-7711-4723-81BB-D507A29E57A9}"/>
    <cellStyle name="Comma 4 3 3 11" xfId="1977" xr:uid="{ED29258E-73C1-419D-AEB5-4309AA2A1F4E}"/>
    <cellStyle name="Comma 4 3 3 12" xfId="1148" xr:uid="{6AA35240-B9A3-41A3-8A5E-79451D500E44}"/>
    <cellStyle name="Comma 4 3 3 13" xfId="10514" xr:uid="{D3AF4ADC-BE9D-426A-A82F-1B92506DD771}"/>
    <cellStyle name="Comma 4 3 3 2" xfId="150" xr:uid="{00000000-0005-0000-0000-000009010000}"/>
    <cellStyle name="Comma 4 3 3 2 10" xfId="1978" xr:uid="{6709118D-35C4-4399-A0EF-E9947A550AB2}"/>
    <cellStyle name="Comma 4 3 3 2 11" xfId="1149" xr:uid="{7F4B7363-82A0-464A-8B98-A41BA0F3D3C1}"/>
    <cellStyle name="Comma 4 3 3 2 12" xfId="10515" xr:uid="{F21FB187-417F-4EDA-97F2-2D24D59CFD14}"/>
    <cellStyle name="Comma 4 3 3 2 2" xfId="695" xr:uid="{00000000-0005-0000-0000-00000A010000}"/>
    <cellStyle name="Comma 4 3 3 2 2 2" xfId="4623" xr:uid="{B4E51080-4B6B-44F1-95FE-41D002E4C008}"/>
    <cellStyle name="Comma 4 3 3 2 2 2 2" xfId="8841" xr:uid="{74A6D9F4-46B3-4A67-99D3-A61D9CB3224E}"/>
    <cellStyle name="Comma 4 3 3 2 2 3" xfId="6696" xr:uid="{341B2738-943F-4F23-A9F3-39049214FB0F}"/>
    <cellStyle name="Comma 4 3 3 2 2 4" xfId="2392" xr:uid="{86F1C27A-2D4D-4F90-A777-AB677F0C03E8}"/>
    <cellStyle name="Comma 4 3 3 2 2 5" xfId="1565" xr:uid="{7376FE04-D4E5-4A38-82E1-B0331A0565D7}"/>
    <cellStyle name="Comma 4 3 3 2 2 6" xfId="10931" xr:uid="{300676C1-8B7E-4E84-ABFF-5876CE638128}"/>
    <cellStyle name="Comma 4 3 3 2 3" xfId="2807" xr:uid="{2422CE45-E95A-402A-9629-2CA8C220B531}"/>
    <cellStyle name="Comma 4 3 3 2 3 2" xfId="5036" xr:uid="{C32F32B4-4C8F-4A2D-A916-5BE0FED5F7F0}"/>
    <cellStyle name="Comma 4 3 3 2 3 2 2" xfId="9254" xr:uid="{07DE4039-ED94-424E-9111-26ECA597C22E}"/>
    <cellStyle name="Comma 4 3 3 2 3 3" xfId="7109" xr:uid="{0E7DE7BD-3C51-4ED0-A58E-C805E97D8BC7}"/>
    <cellStyle name="Comma 4 3 3 2 4" xfId="3220" xr:uid="{DEF33AF5-9B1A-4F89-B89F-5DFBB5DC5ACB}"/>
    <cellStyle name="Comma 4 3 3 2 4 2" xfId="5449" xr:uid="{2A5913F4-C6CE-4A18-8F93-6E7CABC1F471}"/>
    <cellStyle name="Comma 4 3 3 2 4 2 2" xfId="9667" xr:uid="{D1025C85-FD1A-40AD-80EC-324A64C021E2}"/>
    <cellStyle name="Comma 4 3 3 2 4 3" xfId="7522" xr:uid="{C3C4DB65-5999-4DF5-9103-06F3AB77FDF9}"/>
    <cellStyle name="Comma 4 3 3 2 5" xfId="3633" xr:uid="{BEA61D97-62E1-40BD-8645-D874B0E6FB5F}"/>
    <cellStyle name="Comma 4 3 3 2 5 2" xfId="5862" xr:uid="{E9D23565-546C-4384-A167-938BA97CDB84}"/>
    <cellStyle name="Comma 4 3 3 2 5 2 2" xfId="10080" xr:uid="{1ADD70F8-075F-4B8E-9845-60EFD9836295}"/>
    <cellStyle name="Comma 4 3 3 2 5 3" xfId="7935" xr:uid="{2412BA96-5954-47AB-93E7-0E4E26FA76CC}"/>
    <cellStyle name="Comma 4 3 3 2 6" xfId="4068" xr:uid="{5F4BE85C-58F7-4121-84CA-64FBA661F83F}"/>
    <cellStyle name="Comma 4 3 3 2 6 2" xfId="8348" xr:uid="{FE4417CA-D333-4B5B-A988-E2FD5EEE1B06}"/>
    <cellStyle name="Comma 4 3 3 2 7" xfId="4025" xr:uid="{09748FB6-7281-4D6C-8A22-6B2A72FB7117}"/>
    <cellStyle name="Comma 4 3 3 2 8" xfId="4446" xr:uid="{AF07FB7D-84A1-42BC-8317-26AAF0FAE21D}"/>
    <cellStyle name="Comma 4 3 3 2 8 2" xfId="8665" xr:uid="{8DA090EF-EEC2-4F9B-99BC-19FC798E248D}"/>
    <cellStyle name="Comma 4 3 3 2 9" xfId="6282" xr:uid="{7F3C8F68-38FB-48D3-9A66-124A57CF354F}"/>
    <cellStyle name="Comma 4 3 3 3" xfId="694" xr:uid="{00000000-0005-0000-0000-00000B010000}"/>
    <cellStyle name="Comma 4 3 3 3 2" xfId="4622" xr:uid="{3756BE25-6BF8-4107-A79C-9E057BDAF506}"/>
    <cellStyle name="Comma 4 3 3 3 2 2" xfId="8840" xr:uid="{633BE835-C3C2-4A73-8DE2-0C8E3EF45263}"/>
    <cellStyle name="Comma 4 3 3 3 3" xfId="6695" xr:uid="{904535D7-B6A3-43EF-B5BE-B19B875B50CE}"/>
    <cellStyle name="Comma 4 3 3 3 4" xfId="2391" xr:uid="{1AB7DD92-DA5E-43E1-A496-B71D83015565}"/>
    <cellStyle name="Comma 4 3 3 3 5" xfId="1564" xr:uid="{1D37FD2A-138F-4969-BD81-7F9FF54F4D7F}"/>
    <cellStyle name="Comma 4 3 3 3 6" xfId="10930" xr:uid="{382D7B30-5BC8-4D11-933F-BC2352714A7F}"/>
    <cellStyle name="Comma 4 3 3 4" xfId="2806" xr:uid="{6D634507-023C-45CB-BBCD-FCC97B2818CA}"/>
    <cellStyle name="Comma 4 3 3 4 2" xfId="5035" xr:uid="{853AAA10-AD7E-4F14-961E-C9E19D2FFCB2}"/>
    <cellStyle name="Comma 4 3 3 4 2 2" xfId="9253" xr:uid="{CFBCA88C-3902-4843-961E-E8D2EA3BC7EF}"/>
    <cellStyle name="Comma 4 3 3 4 3" xfId="7108" xr:uid="{AEB00AB6-B6BF-46F1-8F34-C5104522E59F}"/>
    <cellStyle name="Comma 4 3 3 5" xfId="3219" xr:uid="{A10A5284-5135-4720-9224-F3142E26088F}"/>
    <cellStyle name="Comma 4 3 3 5 2" xfId="5448" xr:uid="{C5C65519-4567-44C1-86FF-75AB10E55F94}"/>
    <cellStyle name="Comma 4 3 3 5 2 2" xfId="9666" xr:uid="{E14BF6F2-AAB8-446C-A5DC-6F543470881B}"/>
    <cellStyle name="Comma 4 3 3 5 3" xfId="7521" xr:uid="{7E96D819-2A84-4EA2-AFA1-62262DF604E1}"/>
    <cellStyle name="Comma 4 3 3 6" xfId="3632" xr:uid="{D3D49FFA-FE94-49DE-A5F0-0010C60BFD27}"/>
    <cellStyle name="Comma 4 3 3 6 2" xfId="5861" xr:uid="{FDA02D11-1683-4F3E-973F-5AD22BDD9BFD}"/>
    <cellStyle name="Comma 4 3 3 6 2 2" xfId="10079" xr:uid="{A52F15C9-2D6D-42BA-8510-4FC2930B1680}"/>
    <cellStyle name="Comma 4 3 3 6 3" xfId="7934" xr:uid="{9807656A-AA08-4AEF-ACD7-C487D3E2FD91}"/>
    <cellStyle name="Comma 4 3 3 7" xfId="4067" xr:uid="{D48E32FB-D1D2-4011-93A4-004BED601E64}"/>
    <cellStyle name="Comma 4 3 3 7 2" xfId="8347" xr:uid="{AA007E1E-D777-427E-BA82-FE2D1683177E}"/>
    <cellStyle name="Comma 4 3 3 8" xfId="4026" xr:uid="{0EDA51B4-5AAD-4093-9D5B-45F6D9715FD2}"/>
    <cellStyle name="Comma 4 3 3 9" xfId="4445" xr:uid="{41A74158-09A5-4887-BC9F-1A27967281FA}"/>
    <cellStyle name="Comma 4 3 3 9 2" xfId="8664" xr:uid="{251CB4B3-BBC7-47FC-8FA2-E5953AEC7658}"/>
    <cellStyle name="Comma 4 3 4" xfId="151" xr:uid="{00000000-0005-0000-0000-00000C010000}"/>
    <cellStyle name="Comma 4 3 4 10" xfId="1979" xr:uid="{CA28EB2D-F703-4514-917D-E8DB926853AC}"/>
    <cellStyle name="Comma 4 3 4 11" xfId="1150" xr:uid="{9D148A66-8469-4633-B666-90F4DF348BD1}"/>
    <cellStyle name="Comma 4 3 4 12" xfId="10516" xr:uid="{126F1D93-54A0-4912-ABC8-252ADADCB9EE}"/>
    <cellStyle name="Comma 4 3 4 2" xfId="696" xr:uid="{00000000-0005-0000-0000-00000D010000}"/>
    <cellStyle name="Comma 4 3 4 2 2" xfId="4624" xr:uid="{0B593EB7-099F-447E-BF0E-A753318F19C0}"/>
    <cellStyle name="Comma 4 3 4 2 2 2" xfId="8842" xr:uid="{00644C40-EAAC-4C4F-83E7-9E7C400760E5}"/>
    <cellStyle name="Comma 4 3 4 2 3" xfId="6697" xr:uid="{7C0D4FC4-21A9-4DC4-920D-5DA99A555C2B}"/>
    <cellStyle name="Comma 4 3 4 2 4" xfId="2393" xr:uid="{FE2CA088-9CC3-47FB-97AE-CF94BB107F44}"/>
    <cellStyle name="Comma 4 3 4 2 5" xfId="1566" xr:uid="{D91FD038-D85B-4DF3-949A-C0EA6485606E}"/>
    <cellStyle name="Comma 4 3 4 2 6" xfId="10932" xr:uid="{876B248F-0D41-4D5F-9FD2-11BD8786E213}"/>
    <cellStyle name="Comma 4 3 4 3" xfId="2808" xr:uid="{F6A6F9C6-272C-42F6-983B-1AB8E72EC789}"/>
    <cellStyle name="Comma 4 3 4 3 2" xfId="5037" xr:uid="{921DEA4C-52CD-41D4-9C41-F84FDC91EDE8}"/>
    <cellStyle name="Comma 4 3 4 3 2 2" xfId="9255" xr:uid="{D6C4809A-945D-40B9-AA3B-BC64AB706DE2}"/>
    <cellStyle name="Comma 4 3 4 3 3" xfId="7110" xr:uid="{0A2B0185-7787-4C2C-A90D-3F6927FA841A}"/>
    <cellStyle name="Comma 4 3 4 4" xfId="3221" xr:uid="{B7269071-468F-4B6F-98CD-5DE748A12B81}"/>
    <cellStyle name="Comma 4 3 4 4 2" xfId="5450" xr:uid="{9B5FED9C-64BB-46EE-8F91-872F130CF26A}"/>
    <cellStyle name="Comma 4 3 4 4 2 2" xfId="9668" xr:uid="{C09540BE-5A04-4B16-8729-C399045B5A0A}"/>
    <cellStyle name="Comma 4 3 4 4 3" xfId="7523" xr:uid="{97154C01-7089-48D9-8315-450DC4467785}"/>
    <cellStyle name="Comma 4 3 4 5" xfId="3634" xr:uid="{CD24BABF-677F-4DBE-85DF-81526F2C576F}"/>
    <cellStyle name="Comma 4 3 4 5 2" xfId="5863" xr:uid="{63A5D1EF-EEE9-4DF4-A156-07E2F5E18180}"/>
    <cellStyle name="Comma 4 3 4 5 2 2" xfId="10081" xr:uid="{9B09E623-746E-4B1B-B63D-91B98159D43F}"/>
    <cellStyle name="Comma 4 3 4 5 3" xfId="7936" xr:uid="{94B30D0D-DAC1-43C5-87D2-3C91E0395734}"/>
    <cellStyle name="Comma 4 3 4 6" xfId="4069" xr:uid="{AAAB13A0-C6B7-41D2-9D1B-70E355D999C7}"/>
    <cellStyle name="Comma 4 3 4 6 2" xfId="8349" xr:uid="{6965B7A8-1D50-47F2-B4DC-1C03633AEC63}"/>
    <cellStyle name="Comma 4 3 4 7" xfId="4365" xr:uid="{65F9CD0B-C014-4155-BE9E-7FAA5E04F617}"/>
    <cellStyle name="Comma 4 3 4 8" xfId="4447" xr:uid="{7C45541F-CFC1-45DD-A84E-B472C639C863}"/>
    <cellStyle name="Comma 4 3 4 8 2" xfId="8666" xr:uid="{6E7A2D9A-9EC9-4338-83C3-F299F3887D1E}"/>
    <cellStyle name="Comma 4 3 4 9" xfId="6283" xr:uid="{A054C875-3D65-408B-B1E0-734989D20761}"/>
    <cellStyle name="Comma 4 3 5" xfId="152" xr:uid="{00000000-0005-0000-0000-00000E010000}"/>
    <cellStyle name="Comma 4 3 5 10" xfId="1980" xr:uid="{14D282B0-6639-4079-BFA1-613D6B1B636A}"/>
    <cellStyle name="Comma 4 3 5 11" xfId="1151" xr:uid="{9342E63C-2315-4B7C-A996-AE6B33DB8464}"/>
    <cellStyle name="Comma 4 3 5 12" xfId="10517" xr:uid="{A1E0FBCA-B5C6-4A71-9611-243B28A532FD}"/>
    <cellStyle name="Comma 4 3 5 2" xfId="697" xr:uid="{00000000-0005-0000-0000-00000F010000}"/>
    <cellStyle name="Comma 4 3 5 2 2" xfId="4625" xr:uid="{15C6D43B-E7E2-41FD-8211-FDDDE0988BC7}"/>
    <cellStyle name="Comma 4 3 5 2 2 2" xfId="8843" xr:uid="{760E3164-65B4-4429-87B8-0EC8D96D3BC7}"/>
    <cellStyle name="Comma 4 3 5 2 3" xfId="6698" xr:uid="{52068390-5D48-466F-97D6-E39DC89E4D68}"/>
    <cellStyle name="Comma 4 3 5 2 4" xfId="2394" xr:uid="{11FA4DDF-E99F-4065-9174-F3520393DFCA}"/>
    <cellStyle name="Comma 4 3 5 2 5" xfId="1567" xr:uid="{D2F4349D-EED6-4277-A4F9-4F733320A62A}"/>
    <cellStyle name="Comma 4 3 5 2 6" xfId="10933" xr:uid="{FB97C3A6-1B69-4B89-BA92-681963500089}"/>
    <cellStyle name="Comma 4 3 5 3" xfId="2809" xr:uid="{140BCF25-923E-4AE8-AF37-AA73E28FA714}"/>
    <cellStyle name="Comma 4 3 5 3 2" xfId="5038" xr:uid="{FC541757-8C5D-4D65-AF91-1CBA77E20175}"/>
    <cellStyle name="Comma 4 3 5 3 2 2" xfId="9256" xr:uid="{8B3FF30E-D996-414E-B1CA-88005E167E7E}"/>
    <cellStyle name="Comma 4 3 5 3 3" xfId="7111" xr:uid="{71A3B84F-9ADC-4FD1-9243-030062C54BC4}"/>
    <cellStyle name="Comma 4 3 5 4" xfId="3222" xr:uid="{FDED15C4-385D-4967-8A81-AED0AC995FF3}"/>
    <cellStyle name="Comma 4 3 5 4 2" xfId="5451" xr:uid="{6E1C0303-3FA3-4198-917C-5ED018E374B2}"/>
    <cellStyle name="Comma 4 3 5 4 2 2" xfId="9669" xr:uid="{3AB1D616-DD66-433D-A26F-2E43D211814D}"/>
    <cellStyle name="Comma 4 3 5 4 3" xfId="7524" xr:uid="{6B2A3489-E651-4E59-AC93-177C8695F4FE}"/>
    <cellStyle name="Comma 4 3 5 5" xfId="3635" xr:uid="{26634D6B-8DC3-405E-B4A1-A08ED2C31306}"/>
    <cellStyle name="Comma 4 3 5 5 2" xfId="5864" xr:uid="{0D401CE6-A017-4812-B163-D777E9AD61C0}"/>
    <cellStyle name="Comma 4 3 5 5 2 2" xfId="10082" xr:uid="{86E5CF6C-E0BE-4AAD-AAFF-73F15FF27C9F}"/>
    <cellStyle name="Comma 4 3 5 5 3" xfId="7937" xr:uid="{C18CC05A-B314-4DC3-AE03-8E68C53FDFB6}"/>
    <cellStyle name="Comma 4 3 5 6" xfId="4070" xr:uid="{5CD795C4-D584-4D6D-845E-77E377CB00DB}"/>
    <cellStyle name="Comma 4 3 5 6 2" xfId="8350" xr:uid="{F8378824-A731-439D-B8F5-4385F2587C72}"/>
    <cellStyle name="Comma 4 3 5 7" xfId="4366" xr:uid="{5C79939F-6057-4F3B-908E-A7ED54227780}"/>
    <cellStyle name="Comma 4 3 5 8" xfId="4448" xr:uid="{54D0E02A-95D7-4F47-99FF-67818AB224A6}"/>
    <cellStyle name="Comma 4 3 5 8 2" xfId="8667" xr:uid="{82D01DD2-9007-4041-AAE7-4BF89C9A4959}"/>
    <cellStyle name="Comma 4 3 5 9" xfId="6284" xr:uid="{A0E9FEAE-2784-47F6-BE97-2E03C7774451}"/>
    <cellStyle name="Comma 4 4" xfId="153" xr:uid="{00000000-0005-0000-0000-000010010000}"/>
    <cellStyle name="Comma 4 4 10" xfId="4449" xr:uid="{AFFEFD5A-7AFD-4087-A793-0B0A7F450030}"/>
    <cellStyle name="Comma 4 4 10 2" xfId="8668" xr:uid="{2230F9ED-B5B3-4016-A169-FB429C0FB715}"/>
    <cellStyle name="Comma 4 4 11" xfId="6285" xr:uid="{1EC09AD7-4AD6-4467-9036-710B811D4848}"/>
    <cellStyle name="Comma 4 4 12" xfId="1981" xr:uid="{AD0B9EEB-520F-426A-BD91-B7A2187D7526}"/>
    <cellStyle name="Comma 4 4 13" xfId="1152" xr:uid="{291204E9-23E7-41D9-AD84-B9EBA86AD66F}"/>
    <cellStyle name="Comma 4 4 14" xfId="10518" xr:uid="{B58D28CE-008B-4E7E-9E5A-3768DF0E521B}"/>
    <cellStyle name="Comma 4 4 2" xfId="154" xr:uid="{00000000-0005-0000-0000-000011010000}"/>
    <cellStyle name="Comma 4 4 2 10" xfId="6286" xr:uid="{038569BE-16B6-433A-9B38-A495EFF47516}"/>
    <cellStyle name="Comma 4 4 2 11" xfId="1982" xr:uid="{2E9D5C13-DD19-4760-9E8A-15981253D15C}"/>
    <cellStyle name="Comma 4 4 2 12" xfId="1153" xr:uid="{A5C668A0-B140-4B3F-B17A-2B0964DB8DB7}"/>
    <cellStyle name="Comma 4 4 2 13" xfId="10519" xr:uid="{BD5DBCC7-40F1-4D57-9E17-BEF703897884}"/>
    <cellStyle name="Comma 4 4 2 2" xfId="155" xr:uid="{00000000-0005-0000-0000-000012010000}"/>
    <cellStyle name="Comma 4 4 2 2 10" xfId="1983" xr:uid="{474893A5-A049-46C4-977B-A1AB95A2DBB3}"/>
    <cellStyle name="Comma 4 4 2 2 11" xfId="1154" xr:uid="{0B53D306-638D-428C-A3AD-BC9EB511EBCB}"/>
    <cellStyle name="Comma 4 4 2 2 12" xfId="10520" xr:uid="{EB5EBE87-DD90-42C2-BBFF-496FE6A7775E}"/>
    <cellStyle name="Comma 4 4 2 2 2" xfId="700" xr:uid="{00000000-0005-0000-0000-000013010000}"/>
    <cellStyle name="Comma 4 4 2 2 2 2" xfId="4628" xr:uid="{64EBEB9C-B307-4E76-9397-C5DBDA660E6B}"/>
    <cellStyle name="Comma 4 4 2 2 2 2 2" xfId="8846" xr:uid="{33183C1A-95DD-4536-B6E2-A81871226545}"/>
    <cellStyle name="Comma 4 4 2 2 2 3" xfId="6701" xr:uid="{FD54A9F6-ED89-4A6F-B729-534C464377DA}"/>
    <cellStyle name="Comma 4 4 2 2 2 4" xfId="2397" xr:uid="{4D47DDFB-77FC-4BDA-B687-FB150CEECB6F}"/>
    <cellStyle name="Comma 4 4 2 2 2 5" xfId="1570" xr:uid="{7232D937-C9C9-44D4-8454-E34FC2632426}"/>
    <cellStyle name="Comma 4 4 2 2 2 6" xfId="10936" xr:uid="{A0FC227F-EFE1-4102-98B2-B4A99DC481FC}"/>
    <cellStyle name="Comma 4 4 2 2 3" xfId="2812" xr:uid="{30AE0948-B970-4EB2-90BD-D441758FDF21}"/>
    <cellStyle name="Comma 4 4 2 2 3 2" xfId="5041" xr:uid="{7DA63740-E827-4103-B667-5023EFC70796}"/>
    <cellStyle name="Comma 4 4 2 2 3 2 2" xfId="9259" xr:uid="{1EB728C8-040F-4851-9E30-9931E39598C0}"/>
    <cellStyle name="Comma 4 4 2 2 3 3" xfId="7114" xr:uid="{7F6655AC-370E-4B95-BF59-C39EA8B398AE}"/>
    <cellStyle name="Comma 4 4 2 2 4" xfId="3225" xr:uid="{32DC6C45-1A57-48BB-89D3-9F52AB879A2B}"/>
    <cellStyle name="Comma 4 4 2 2 4 2" xfId="5454" xr:uid="{F0D7F0BC-68FF-4EF9-B19E-12C62F6AE1C6}"/>
    <cellStyle name="Comma 4 4 2 2 4 2 2" xfId="9672" xr:uid="{4A03C08B-B7AC-42D3-B559-7D05014AA23E}"/>
    <cellStyle name="Comma 4 4 2 2 4 3" xfId="7527" xr:uid="{AAA316CD-A482-4187-9FD2-5197997CF3DF}"/>
    <cellStyle name="Comma 4 4 2 2 5" xfId="3638" xr:uid="{06E3E606-8797-44D1-8419-AC7F4B0433F3}"/>
    <cellStyle name="Comma 4 4 2 2 5 2" xfId="5867" xr:uid="{24B91C0D-B8FA-4756-8ABA-8DA4083953AE}"/>
    <cellStyle name="Comma 4 4 2 2 5 2 2" xfId="10085" xr:uid="{A788162B-A3D4-43E6-8EBA-8F853CF2402D}"/>
    <cellStyle name="Comma 4 4 2 2 5 3" xfId="7940" xr:uid="{61E810AE-8465-4693-8331-28846B80697C}"/>
    <cellStyle name="Comma 4 4 2 2 6" xfId="4073" xr:uid="{5C9FD91E-70EF-4D8E-B889-B6D4A3AA5141}"/>
    <cellStyle name="Comma 4 4 2 2 6 2" xfId="8353" xr:uid="{C08285AD-C5CB-4A4F-934C-CC77F4F0C6AC}"/>
    <cellStyle name="Comma 4 4 2 2 7" xfId="4369" xr:uid="{9D047504-2128-4760-8599-3FA0B354D0D8}"/>
    <cellStyle name="Comma 4 4 2 2 8" xfId="4451" xr:uid="{58CFB4C1-682A-44DF-8C5C-C44C77ABC7F7}"/>
    <cellStyle name="Comma 4 4 2 2 8 2" xfId="8670" xr:uid="{6EE11527-44AE-430C-A0D1-ADBE479144C6}"/>
    <cellStyle name="Comma 4 4 2 2 9" xfId="6287" xr:uid="{B0C648AE-4380-4F4B-B6AB-B5EBE8D14C45}"/>
    <cellStyle name="Comma 4 4 2 3" xfId="699" xr:uid="{00000000-0005-0000-0000-000014010000}"/>
    <cellStyle name="Comma 4 4 2 3 2" xfId="4627" xr:uid="{65A9D343-EE8E-46B3-97C2-48B79B802250}"/>
    <cellStyle name="Comma 4 4 2 3 2 2" xfId="8845" xr:uid="{8502338F-8362-4D4B-83A9-438BD62873D9}"/>
    <cellStyle name="Comma 4 4 2 3 3" xfId="6700" xr:uid="{CE148977-9751-4C05-84A7-50F6EA7FF12A}"/>
    <cellStyle name="Comma 4 4 2 3 4" xfId="2396" xr:uid="{324F96B8-5223-4066-A4B0-5F811707065F}"/>
    <cellStyle name="Comma 4 4 2 3 5" xfId="1569" xr:uid="{EBDD7A1E-D54D-4FD0-8411-F00FEEC6FD0A}"/>
    <cellStyle name="Comma 4 4 2 3 6" xfId="10935" xr:uid="{3F314755-5820-420F-AE65-CD39F3A53626}"/>
    <cellStyle name="Comma 4 4 2 4" xfId="2811" xr:uid="{7F516221-90B0-4C62-867A-F0BCCCF3D3C5}"/>
    <cellStyle name="Comma 4 4 2 4 2" xfId="5040" xr:uid="{A3CE58D6-8849-41B6-A374-621F869F7168}"/>
    <cellStyle name="Comma 4 4 2 4 2 2" xfId="9258" xr:uid="{F45F5A32-E90C-4D5B-9D02-B6161DA0BE1B}"/>
    <cellStyle name="Comma 4 4 2 4 3" xfId="7113" xr:uid="{6F9A70C9-D36B-4A69-B240-BA44FD855A77}"/>
    <cellStyle name="Comma 4 4 2 5" xfId="3224" xr:uid="{3EC12223-5C6B-44EA-8B26-49BE1A298DEC}"/>
    <cellStyle name="Comma 4 4 2 5 2" xfId="5453" xr:uid="{F49DFA84-CD77-4E2A-855B-A511FFC442DC}"/>
    <cellStyle name="Comma 4 4 2 5 2 2" xfId="9671" xr:uid="{B9D35872-2AA4-4090-8443-45664689A515}"/>
    <cellStyle name="Comma 4 4 2 5 3" xfId="7526" xr:uid="{A5BB8BDE-2CA6-4494-84F6-8BF8533CF04E}"/>
    <cellStyle name="Comma 4 4 2 6" xfId="3637" xr:uid="{1959671E-2BD4-4BC9-8393-CA8B43223969}"/>
    <cellStyle name="Comma 4 4 2 6 2" xfId="5866" xr:uid="{6B6F6B39-DA2E-4F9A-BEE8-C5E81DC3C3C3}"/>
    <cellStyle name="Comma 4 4 2 6 2 2" xfId="10084" xr:uid="{F039A1EA-5C07-4E0E-895D-A7D7A3A8D98B}"/>
    <cellStyle name="Comma 4 4 2 6 3" xfId="7939" xr:uid="{36FAB23A-4F38-4065-9AFF-92604A3FA432}"/>
    <cellStyle name="Comma 4 4 2 7" xfId="4072" xr:uid="{8F1DF72F-3646-4E33-B561-DEDBA7DA864A}"/>
    <cellStyle name="Comma 4 4 2 7 2" xfId="8352" xr:uid="{E05B9CAD-C5D7-4EC5-B5F0-C4BE8E7B1CAF}"/>
    <cellStyle name="Comma 4 4 2 8" xfId="4368" xr:uid="{0522C395-CDDD-4B4C-9BB7-576B44EA6298}"/>
    <cellStyle name="Comma 4 4 2 9" xfId="4450" xr:uid="{44B11820-5C41-4E72-BCF1-91C4ABA093F6}"/>
    <cellStyle name="Comma 4 4 2 9 2" xfId="8669" xr:uid="{8F407F25-162A-41D9-91EE-84B3D516C22C}"/>
    <cellStyle name="Comma 4 4 3" xfId="156" xr:uid="{00000000-0005-0000-0000-000015010000}"/>
    <cellStyle name="Comma 4 4 3 10" xfId="1984" xr:uid="{208D71FD-8183-40BD-B104-93A1E72A0D96}"/>
    <cellStyle name="Comma 4 4 3 11" xfId="1155" xr:uid="{9969F48F-653D-4073-94FB-0099D73698DB}"/>
    <cellStyle name="Comma 4 4 3 12" xfId="10521" xr:uid="{67FCE2E6-3F86-4B71-90CE-8C3C76E81E00}"/>
    <cellStyle name="Comma 4 4 3 2" xfId="701" xr:uid="{00000000-0005-0000-0000-000016010000}"/>
    <cellStyle name="Comma 4 4 3 2 2" xfId="4629" xr:uid="{11282B3E-1B04-4B48-9382-702F3C652C6E}"/>
    <cellStyle name="Comma 4 4 3 2 2 2" xfId="8847" xr:uid="{74267C48-18CC-4CE8-BAAE-F978EF65A50F}"/>
    <cellStyle name="Comma 4 4 3 2 3" xfId="6702" xr:uid="{ACE30DF6-AD6F-4B41-8556-1270FEFABCBF}"/>
    <cellStyle name="Comma 4 4 3 2 4" xfId="2398" xr:uid="{570FFA28-AC20-4107-94C9-CC2AF3388F61}"/>
    <cellStyle name="Comma 4 4 3 2 5" xfId="1571" xr:uid="{97FD08E3-8B02-4A54-86C7-7B6CEF81F921}"/>
    <cellStyle name="Comma 4 4 3 2 6" xfId="10937" xr:uid="{5FC5AEB3-4D56-4969-9E23-7F49F45B4ECA}"/>
    <cellStyle name="Comma 4 4 3 3" xfId="2813" xr:uid="{F6433202-AAD4-41AD-A596-3750E5C6F3A0}"/>
    <cellStyle name="Comma 4 4 3 3 2" xfId="5042" xr:uid="{36BB03DE-2C25-4285-A0B3-FBFAE30D1DAF}"/>
    <cellStyle name="Comma 4 4 3 3 2 2" xfId="9260" xr:uid="{882ECA83-4F0B-46BA-8F6A-193A4BA9DA48}"/>
    <cellStyle name="Comma 4 4 3 3 3" xfId="7115" xr:uid="{61525E37-A6E5-46BB-B8AA-DF133AA7F9B9}"/>
    <cellStyle name="Comma 4 4 3 4" xfId="3226" xr:uid="{33881CF7-89B8-4142-910D-67FBD4C982E7}"/>
    <cellStyle name="Comma 4 4 3 4 2" xfId="5455" xr:uid="{1BD1E988-A993-4FC9-B307-9AF89B3E3597}"/>
    <cellStyle name="Comma 4 4 3 4 2 2" xfId="9673" xr:uid="{97FE8122-D41A-4298-A51D-92C14DD1B08C}"/>
    <cellStyle name="Comma 4 4 3 4 3" xfId="7528" xr:uid="{D146D1E1-9AEA-4640-BFDD-0868F511F94C}"/>
    <cellStyle name="Comma 4 4 3 5" xfId="3639" xr:uid="{D21BE937-292C-40D2-8C84-7CAB081B530F}"/>
    <cellStyle name="Comma 4 4 3 5 2" xfId="5868" xr:uid="{A8865B8C-36EC-41EF-9A8B-88623C50B500}"/>
    <cellStyle name="Comma 4 4 3 5 2 2" xfId="10086" xr:uid="{970D36CA-6C5B-4BB8-84BE-490D4ABBA261}"/>
    <cellStyle name="Comma 4 4 3 5 3" xfId="7941" xr:uid="{2A1912F2-5B61-45BE-808B-936FE647C064}"/>
    <cellStyle name="Comma 4 4 3 6" xfId="4074" xr:uid="{90D1B03B-FEB8-48CF-8ADA-9827D32B5F33}"/>
    <cellStyle name="Comma 4 4 3 6 2" xfId="8354" xr:uid="{446149AF-909C-4ED1-8B35-489B4CAA9662}"/>
    <cellStyle name="Comma 4 4 3 7" xfId="4370" xr:uid="{4CB6D08F-0906-4236-858A-50B6752380AE}"/>
    <cellStyle name="Comma 4 4 3 8" xfId="4452" xr:uid="{843D6662-421A-448A-9F13-04373CC5DFF1}"/>
    <cellStyle name="Comma 4 4 3 8 2" xfId="8671" xr:uid="{505A38FE-9DD1-4F4F-BE84-FD3322BE03FF}"/>
    <cellStyle name="Comma 4 4 3 9" xfId="6288" xr:uid="{B4BC5137-AEA7-4326-8EAE-017BAC1BE907}"/>
    <cellStyle name="Comma 4 4 4" xfId="698" xr:uid="{00000000-0005-0000-0000-000017010000}"/>
    <cellStyle name="Comma 4 4 4 2" xfId="4626" xr:uid="{93C2CA1D-6FDB-4BEA-8815-51C0A85E2CB5}"/>
    <cellStyle name="Comma 4 4 4 2 2" xfId="8844" xr:uid="{213A3DCA-550F-4B5D-8565-D9086879E95C}"/>
    <cellStyle name="Comma 4 4 4 3" xfId="6699" xr:uid="{AC4FB302-DE52-4785-9790-3E82F38C2D92}"/>
    <cellStyle name="Comma 4 4 4 4" xfId="2395" xr:uid="{46660B7C-A4FB-4CCE-BF1C-9A3B737AD1B1}"/>
    <cellStyle name="Comma 4 4 4 5" xfId="1568" xr:uid="{A16E1E43-86A5-44DE-9453-DE963E028948}"/>
    <cellStyle name="Comma 4 4 4 6" xfId="10934" xr:uid="{104F8FAE-279B-4C24-B3E4-D1C6D15A37F9}"/>
    <cellStyle name="Comma 4 4 5" xfId="2810" xr:uid="{9B96A6A5-AEFD-462E-A001-93322D35CE45}"/>
    <cellStyle name="Comma 4 4 5 2" xfId="5039" xr:uid="{7C4D75E7-6C1B-4DCD-9E78-A2D9F33ADD68}"/>
    <cellStyle name="Comma 4 4 5 2 2" xfId="9257" xr:uid="{C13B2616-59C8-4943-8A3A-CD7C9275D14C}"/>
    <cellStyle name="Comma 4 4 5 3" xfId="7112" xr:uid="{7F4C81B6-9E0B-4284-BD88-695177B0C16E}"/>
    <cellStyle name="Comma 4 4 6" xfId="3223" xr:uid="{B4413C87-6E34-418B-8209-BFB6A7BC9609}"/>
    <cellStyle name="Comma 4 4 6 2" xfId="5452" xr:uid="{71B2844D-607A-4242-9ACE-5871114FED9A}"/>
    <cellStyle name="Comma 4 4 6 2 2" xfId="9670" xr:uid="{E7A4ED89-3B1A-400B-B6B2-242ED38D1F8E}"/>
    <cellStyle name="Comma 4 4 6 3" xfId="7525" xr:uid="{83E5462A-7E27-426C-B756-6B3798792CD7}"/>
    <cellStyle name="Comma 4 4 7" xfId="3636" xr:uid="{7C5EFC19-E084-4E72-9C96-8A2226A747E4}"/>
    <cellStyle name="Comma 4 4 7 2" xfId="5865" xr:uid="{60076687-B1B1-4F37-BADD-A5C801AF87D5}"/>
    <cellStyle name="Comma 4 4 7 2 2" xfId="10083" xr:uid="{7F8E152A-E214-4077-AB81-9733961DB568}"/>
    <cellStyle name="Comma 4 4 7 3" xfId="7938" xr:uid="{AF1A2D8E-F196-45DC-9ACF-5976A350CA4B}"/>
    <cellStyle name="Comma 4 4 8" xfId="4071" xr:uid="{33D0AC56-997E-43DC-B1FB-A65CE463157F}"/>
    <cellStyle name="Comma 4 4 8 2" xfId="8351" xr:uid="{338619D2-5127-4060-A812-1121E664FD4D}"/>
    <cellStyle name="Comma 4 4 9" xfId="4367" xr:uid="{C14A3E9B-2F10-4F17-8153-7E6BC7275425}"/>
    <cellStyle name="Comma 4 5" xfId="157" xr:uid="{00000000-0005-0000-0000-000018010000}"/>
    <cellStyle name="Comma 4 5 10" xfId="6289" xr:uid="{EC8C1278-C90A-4DF0-812E-237B15CE1AA3}"/>
    <cellStyle name="Comma 4 5 11" xfId="1985" xr:uid="{A1AFE1E2-3F53-48A3-ADB7-102D90EE1417}"/>
    <cellStyle name="Comma 4 5 12" xfId="1156" xr:uid="{CA8301B6-B15E-4B50-9259-D2AD09343A98}"/>
    <cellStyle name="Comma 4 5 13" xfId="10522" xr:uid="{AC2E4E4F-C2BF-4E08-B5EF-64F9A543E4B9}"/>
    <cellStyle name="Comma 4 5 2" xfId="158" xr:uid="{00000000-0005-0000-0000-000019010000}"/>
    <cellStyle name="Comma 4 5 2 10" xfId="1986" xr:uid="{707DAE88-A319-4FBD-8F2D-8B586884F2E5}"/>
    <cellStyle name="Comma 4 5 2 11" xfId="1157" xr:uid="{42202346-B1C3-49E1-A251-69178E723A0A}"/>
    <cellStyle name="Comma 4 5 2 12" xfId="10523" xr:uid="{C737A39A-11E9-4D05-A59F-FC90E8D40062}"/>
    <cellStyle name="Comma 4 5 2 2" xfId="703" xr:uid="{00000000-0005-0000-0000-00001A010000}"/>
    <cellStyle name="Comma 4 5 2 2 2" xfId="4631" xr:uid="{5B602C4B-0E3A-4703-8AAE-4E0345479209}"/>
    <cellStyle name="Comma 4 5 2 2 2 2" xfId="8849" xr:uid="{FDE436F0-A1CA-4F84-A621-B50986E3445B}"/>
    <cellStyle name="Comma 4 5 2 2 3" xfId="6704" xr:uid="{9818BFFD-476E-4149-B289-D841CF9C1E49}"/>
    <cellStyle name="Comma 4 5 2 2 4" xfId="2400" xr:uid="{5D4D2571-41A9-4304-95B7-1C70A16A91F3}"/>
    <cellStyle name="Comma 4 5 2 2 5" xfId="1573" xr:uid="{544DE8AA-ED7B-4A7A-BAB9-27F65CCC31A4}"/>
    <cellStyle name="Comma 4 5 2 2 6" xfId="10939" xr:uid="{FD779E17-FB4A-4EFB-A8D6-63891B5CBAB1}"/>
    <cellStyle name="Comma 4 5 2 3" xfId="2815" xr:uid="{C3AA4568-A1FB-437F-A271-69AD29D933FC}"/>
    <cellStyle name="Comma 4 5 2 3 2" xfId="5044" xr:uid="{13235DB0-37A4-4EE9-B316-2BA90E039F73}"/>
    <cellStyle name="Comma 4 5 2 3 2 2" xfId="9262" xr:uid="{4033BAE5-307B-47F5-8CE6-319984F93B2E}"/>
    <cellStyle name="Comma 4 5 2 3 3" xfId="7117" xr:uid="{AB05223A-8501-435A-B78B-EF1398ABEC13}"/>
    <cellStyle name="Comma 4 5 2 4" xfId="3228" xr:uid="{BDC48451-5D9B-4A5D-9723-4C22C529038E}"/>
    <cellStyle name="Comma 4 5 2 4 2" xfId="5457" xr:uid="{FFCCCA47-394E-4A9E-B779-3E8AD596E1A0}"/>
    <cellStyle name="Comma 4 5 2 4 2 2" xfId="9675" xr:uid="{3E27C1C4-32EA-4A3A-9B23-16F2737730C0}"/>
    <cellStyle name="Comma 4 5 2 4 3" xfId="7530" xr:uid="{91ABF657-85DE-41C4-823B-019A107F5B9F}"/>
    <cellStyle name="Comma 4 5 2 5" xfId="3641" xr:uid="{B5EFEB55-1065-4325-A5BA-ADDA272437EC}"/>
    <cellStyle name="Comma 4 5 2 5 2" xfId="5870" xr:uid="{075DE850-E34B-4E78-824C-6166E4543550}"/>
    <cellStyle name="Comma 4 5 2 5 2 2" xfId="10088" xr:uid="{BF58AEAE-C599-447B-9F2A-CAED858F5FF0}"/>
    <cellStyle name="Comma 4 5 2 5 3" xfId="7943" xr:uid="{3C08A74A-2B3A-43A2-8472-0A9CB44A3A52}"/>
    <cellStyle name="Comma 4 5 2 6" xfId="4076" xr:uid="{D95067EB-6388-4ECC-9F3C-65E60C60CD22}"/>
    <cellStyle name="Comma 4 5 2 6 2" xfId="8356" xr:uid="{66573A10-2BB5-452F-87DF-D32038849AA6}"/>
    <cellStyle name="Comma 4 5 2 7" xfId="4372" xr:uid="{F4FC5558-63A2-4838-88F7-303B05FCF238}"/>
    <cellStyle name="Comma 4 5 2 8" xfId="4454" xr:uid="{A2401005-F791-42B2-86C9-64CDAB5C9680}"/>
    <cellStyle name="Comma 4 5 2 8 2" xfId="8673" xr:uid="{96E8C02C-89A8-44F4-9104-D3206F20FC91}"/>
    <cellStyle name="Comma 4 5 2 9" xfId="6290" xr:uid="{1FB1BF54-BCAD-4841-8AA7-0171AB1CA12E}"/>
    <cellStyle name="Comma 4 5 3" xfId="702" xr:uid="{00000000-0005-0000-0000-00001B010000}"/>
    <cellStyle name="Comma 4 5 3 2" xfId="4630" xr:uid="{5F501233-41A6-4C07-B414-979745B71F9D}"/>
    <cellStyle name="Comma 4 5 3 2 2" xfId="8848" xr:uid="{60D6EF67-2EDD-4707-9FFE-0B54AB76BEF3}"/>
    <cellStyle name="Comma 4 5 3 3" xfId="6703" xr:uid="{24CCF335-42F0-4473-97FB-49E0316EABCE}"/>
    <cellStyle name="Comma 4 5 3 4" xfId="2399" xr:uid="{5CF19D97-13FF-4507-B704-016F9AE00FA0}"/>
    <cellStyle name="Comma 4 5 3 5" xfId="1572" xr:uid="{F0BDE29A-13FE-4DF6-B770-53CB57BA8201}"/>
    <cellStyle name="Comma 4 5 3 6" xfId="10938" xr:uid="{F7584950-F811-410E-BA00-012108FBF9CB}"/>
    <cellStyle name="Comma 4 5 4" xfId="2814" xr:uid="{ECABD4BA-4DBA-427B-B53D-33F80933D932}"/>
    <cellStyle name="Comma 4 5 4 2" xfId="5043" xr:uid="{B27F52DF-881F-4D47-B175-5DB014727C87}"/>
    <cellStyle name="Comma 4 5 4 2 2" xfId="9261" xr:uid="{69B6F26B-D5D5-436B-AC32-34B2275FD6DF}"/>
    <cellStyle name="Comma 4 5 4 3" xfId="7116" xr:uid="{2D3BF0AC-2114-4104-B5C2-3AB66FFEA049}"/>
    <cellStyle name="Comma 4 5 5" xfId="3227" xr:uid="{81EE4398-8814-4353-828F-C62337E108D0}"/>
    <cellStyle name="Comma 4 5 5 2" xfId="5456" xr:uid="{4646FCDA-5CED-4F65-ADED-8685439ED300}"/>
    <cellStyle name="Comma 4 5 5 2 2" xfId="9674" xr:uid="{B6E6BC4E-825E-4210-9BF6-B3ED57ABDFE3}"/>
    <cellStyle name="Comma 4 5 5 3" xfId="7529" xr:uid="{59CDE1CF-FB0D-47E0-ADED-C10E43B5D4FF}"/>
    <cellStyle name="Comma 4 5 6" xfId="3640" xr:uid="{77B29ED1-0AAF-47CB-B132-24349BDC6E88}"/>
    <cellStyle name="Comma 4 5 6 2" xfId="5869" xr:uid="{765EA3A8-CF4B-4BCC-B356-45750204562E}"/>
    <cellStyle name="Comma 4 5 6 2 2" xfId="10087" xr:uid="{8310D306-DE9F-4669-8759-64BC9DB98B8E}"/>
    <cellStyle name="Comma 4 5 6 3" xfId="7942" xr:uid="{CB49CB61-35FC-4FFA-9B20-9E1F4F841212}"/>
    <cellStyle name="Comma 4 5 7" xfId="4075" xr:uid="{B76029B9-1EBA-48D3-85FB-12DEB5EB84F3}"/>
    <cellStyle name="Comma 4 5 7 2" xfId="8355" xr:uid="{90D7BF74-EF5A-4F3A-A3AD-121C08B0B0F9}"/>
    <cellStyle name="Comma 4 5 8" xfId="4371" xr:uid="{CA89D902-CC89-42BB-8797-FFAAABBAC273}"/>
    <cellStyle name="Comma 4 5 9" xfId="4453" xr:uid="{E27ABBF2-3391-4E3A-93B6-F28396866E24}"/>
    <cellStyle name="Comma 4 5 9 2" xfId="8672" xr:uid="{C6EE4EDA-C951-4126-A55C-0FF67B199C5A}"/>
    <cellStyle name="Comma 4 6" xfId="159" xr:uid="{00000000-0005-0000-0000-00001C010000}"/>
    <cellStyle name="Comma 4 6 10" xfId="1987" xr:uid="{A1C3D79D-C9D4-4B24-9B1F-A060135B92E9}"/>
    <cellStyle name="Comma 4 6 11" xfId="1158" xr:uid="{EC1D00E2-46F8-42C9-9E73-2F2CB84244F2}"/>
    <cellStyle name="Comma 4 6 12" xfId="10524" xr:uid="{6FED83F5-9CBD-4137-A4F1-C737370CFE1C}"/>
    <cellStyle name="Comma 4 6 2" xfId="704" xr:uid="{00000000-0005-0000-0000-00001D010000}"/>
    <cellStyle name="Comma 4 6 2 2" xfId="4632" xr:uid="{49371115-5030-4257-B590-C2A36E519AE4}"/>
    <cellStyle name="Comma 4 6 2 2 2" xfId="8850" xr:uid="{BA7FAA2F-A043-485C-83E4-8EB3103F3861}"/>
    <cellStyle name="Comma 4 6 2 3" xfId="6705" xr:uid="{4A2CCFE7-AC1B-446C-A4C5-FEB1B042111D}"/>
    <cellStyle name="Comma 4 6 2 4" xfId="2401" xr:uid="{1296F269-2ED5-4A9B-A6AE-118C95F1585A}"/>
    <cellStyle name="Comma 4 6 2 5" xfId="1574" xr:uid="{D14F258F-D84F-47CA-9A14-8DFFE1DDF545}"/>
    <cellStyle name="Comma 4 6 2 6" xfId="10940" xr:uid="{7096826E-EA38-4274-BA55-99DF956C3399}"/>
    <cellStyle name="Comma 4 6 3" xfId="2816" xr:uid="{A7C98CC5-D7F6-4DB2-B470-5EC9895E6D15}"/>
    <cellStyle name="Comma 4 6 3 2" xfId="5045" xr:uid="{287CFB3C-8AEA-4582-A9C3-9E0819DACBA7}"/>
    <cellStyle name="Comma 4 6 3 2 2" xfId="9263" xr:uid="{FFE2CAD6-EDDF-415A-9388-71DAE8AE3CFE}"/>
    <cellStyle name="Comma 4 6 3 3" xfId="7118" xr:uid="{09002129-5701-41FC-BF11-C2010A231BF8}"/>
    <cellStyle name="Comma 4 6 4" xfId="3229" xr:uid="{3DAD79FA-86E9-4ECE-89CE-F10A8C2257C5}"/>
    <cellStyle name="Comma 4 6 4 2" xfId="5458" xr:uid="{32368B99-CE94-4E7F-B8D4-A18D8199E30B}"/>
    <cellStyle name="Comma 4 6 4 2 2" xfId="9676" xr:uid="{14404D94-715C-4B24-91D0-15D6BB90D856}"/>
    <cellStyle name="Comma 4 6 4 3" xfId="7531" xr:uid="{4BF86805-DB1A-41F0-A57B-948ECA667793}"/>
    <cellStyle name="Comma 4 6 5" xfId="3642" xr:uid="{7ABC8159-6F02-49D5-82D2-83C98F9A9EAD}"/>
    <cellStyle name="Comma 4 6 5 2" xfId="5871" xr:uid="{9E8216C3-709B-4C14-8826-86B10C49DE20}"/>
    <cellStyle name="Comma 4 6 5 2 2" xfId="10089" xr:uid="{ABCDA36E-E3F2-4C84-A0F1-4718DB44E77A}"/>
    <cellStyle name="Comma 4 6 5 3" xfId="7944" xr:uid="{617C1F8A-F70B-4D90-8516-C8E3943A3663}"/>
    <cellStyle name="Comma 4 6 6" xfId="4077" xr:uid="{F0D07151-EB6A-4B50-B17A-E05AC4415504}"/>
    <cellStyle name="Comma 4 6 6 2" xfId="8357" xr:uid="{439EDDFD-47E2-476C-AAE7-4CE50C6B83D2}"/>
    <cellStyle name="Comma 4 6 7" xfId="4373" xr:uid="{6DD841D1-BDC2-4ED4-AC00-FD8183667292}"/>
    <cellStyle name="Comma 4 6 8" xfId="4455" xr:uid="{91AC814B-F136-4D45-9D75-7D0407D10D40}"/>
    <cellStyle name="Comma 4 6 8 2" xfId="8674" xr:uid="{D45F1C1B-F84C-4BA1-8DD4-73075F654BD8}"/>
    <cellStyle name="Comma 4 6 9" xfId="6291" xr:uid="{896A2A0F-E707-4D7F-B913-3B7DAB2FBECE}"/>
    <cellStyle name="Comma 4 7" xfId="160" xr:uid="{00000000-0005-0000-0000-00001E010000}"/>
    <cellStyle name="Comma 4 7 10" xfId="1988" xr:uid="{F74AD2C7-42E9-4981-9404-AD015F7036FC}"/>
    <cellStyle name="Comma 4 7 11" xfId="1159" xr:uid="{7D6C4559-B5D9-4CBB-A3E8-6F4638E2FA58}"/>
    <cellStyle name="Comma 4 7 12" xfId="10525" xr:uid="{E87844D2-54CA-47CE-B7F7-EF9ED75C9E45}"/>
    <cellStyle name="Comma 4 7 2" xfId="705" xr:uid="{00000000-0005-0000-0000-00001F010000}"/>
    <cellStyle name="Comma 4 7 2 2" xfId="4633" xr:uid="{FD32DB47-EA2A-40C6-BBD2-BF44E8DFF9C4}"/>
    <cellStyle name="Comma 4 7 2 2 2" xfId="8851" xr:uid="{F2E89123-1FEE-4737-8CD8-8783552AB1B9}"/>
    <cellStyle name="Comma 4 7 2 3" xfId="6706" xr:uid="{E4E14138-BB45-491A-A488-2CEF2E43E934}"/>
    <cellStyle name="Comma 4 7 2 4" xfId="2402" xr:uid="{AD2773DB-218A-4EBC-8385-FF7F2E264E9B}"/>
    <cellStyle name="Comma 4 7 2 5" xfId="1575" xr:uid="{91C52393-8F78-4418-972F-6332B7FD6A83}"/>
    <cellStyle name="Comma 4 7 2 6" xfId="10941" xr:uid="{59EDEA77-23B1-4442-9F46-8E061C908CD4}"/>
    <cellStyle name="Comma 4 7 3" xfId="2817" xr:uid="{21E95CC4-B39A-4494-B5E8-DE47484A5089}"/>
    <cellStyle name="Comma 4 7 3 2" xfId="5046" xr:uid="{781C4026-5BD1-4125-B0E4-393C42400AA2}"/>
    <cellStyle name="Comma 4 7 3 2 2" xfId="9264" xr:uid="{B96CB65C-66BC-49DD-AFC1-2916EA4AF096}"/>
    <cellStyle name="Comma 4 7 3 3" xfId="7119" xr:uid="{8F8013D5-4BC6-4662-B918-5751DA31CA4B}"/>
    <cellStyle name="Comma 4 7 4" xfId="3230" xr:uid="{ABB067B4-5A75-4A35-9E54-4CAFE0880BA4}"/>
    <cellStyle name="Comma 4 7 4 2" xfId="5459" xr:uid="{C46805B3-1A0A-45AB-A0D3-16403D826B19}"/>
    <cellStyle name="Comma 4 7 4 2 2" xfId="9677" xr:uid="{9B0E9687-2062-48A8-B206-495105B7B8A4}"/>
    <cellStyle name="Comma 4 7 4 3" xfId="7532" xr:uid="{0811E02F-053C-45CF-B526-BCB0E6488226}"/>
    <cellStyle name="Comma 4 7 5" xfId="3643" xr:uid="{D7C419BB-A642-4377-94DA-AF1198991968}"/>
    <cellStyle name="Comma 4 7 5 2" xfId="5872" xr:uid="{B0A71AFC-DDE3-4618-AAF4-0CD7C424013B}"/>
    <cellStyle name="Comma 4 7 5 2 2" xfId="10090" xr:uid="{B66974BB-CDFC-4BCD-B6E6-0DFF0679AD76}"/>
    <cellStyle name="Comma 4 7 5 3" xfId="7945" xr:uid="{9F2674E4-17E1-4526-B95E-8DD604212C8F}"/>
    <cellStyle name="Comma 4 7 6" xfId="4078" xr:uid="{7B6F3EF4-78DD-4FC7-B60D-DF1749453F1E}"/>
    <cellStyle name="Comma 4 7 6 2" xfId="8358" xr:uid="{DF80DEFF-C8C9-477F-B758-50152150053C}"/>
    <cellStyle name="Comma 4 7 7" xfId="4374" xr:uid="{85ED3F47-D2A2-4649-A174-7E0C38B20AE9}"/>
    <cellStyle name="Comma 4 7 8" xfId="4456" xr:uid="{5189B61B-78C9-4C92-8FBC-466F398043F9}"/>
    <cellStyle name="Comma 4 7 8 2" xfId="8675" xr:uid="{78B975D2-160A-4447-B71F-62246D974F35}"/>
    <cellStyle name="Comma 4 7 9" xfId="6292" xr:uid="{6B0F3098-87E3-44AD-ABA2-9017FA7490E3}"/>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6160" xr:uid="{C0278460-3C47-4020-A676-2FE163D5738A}"/>
    <cellStyle name="Comma 7 3" xfId="1446" xr:uid="{0556EFB5-9150-40A6-A8ED-9EECE28B52A3}"/>
    <cellStyle name="Comma 7 4" xfId="10812" xr:uid="{26A3C553-289E-49EB-AACC-639A67FF7A6C}"/>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12 3" xfId="2403" xr:uid="{322428EF-2343-4D70-A95A-74E68611625D}"/>
    <cellStyle name="Currency 13" xfId="4375" xr:uid="{99F59E54-FBBB-46D2-A7E1-D8DD7D85308E}"/>
    <cellStyle name="Currency 13 2" xfId="6158" xr:uid="{6C086CA0-D1A1-4905-9184-71EDB6E7F6F0}"/>
    <cellStyle name="Currency 13 3" xfId="4111" xr:uid="{07A09340-8E82-479E-9880-CC91569AC9B2}"/>
    <cellStyle name="Currency 14" xfId="6163" xr:uid="{0FA1BF63-12D3-4530-9538-AA98C04FBCFE}"/>
    <cellStyle name="Currency 14 2" xfId="10377" xr:uid="{E8CB0E9C-69C5-43E9-B797-69FCEDF58190}"/>
    <cellStyle name="Currency 14 3" xfId="10380" xr:uid="{97F500AA-F1F4-4809-BE94-7F8A2EA56E1E}"/>
    <cellStyle name="Currency 14 3 2" xfId="10383" xr:uid="{EA164B23-8C24-4C32-9B54-708484A1EE71}"/>
    <cellStyle name="Currency 14 3 2 2" xfId="10386" xr:uid="{A2FCC8CA-66D6-4CDC-AE38-42DB6FC750A8}"/>
    <cellStyle name="Currency 14 3 2 2 2" xfId="10390" xr:uid="{2E4151A3-3037-4B22-A9A5-48A349C2A580}"/>
    <cellStyle name="Currency 14 3 2 2 2 2" xfId="10393" xr:uid="{68AA53D4-18E2-4F6A-9511-27599B5C76B7}"/>
    <cellStyle name="Currency 16" xfId="10396" xr:uid="{0D175565-2C24-408D-B3A0-97E448A28894}"/>
    <cellStyle name="Currency 16 2" xfId="11228" xr:uid="{508606FE-E5C0-443F-804E-95F90C6D967F}"/>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10" xfId="4457" xr:uid="{2164B429-EF2D-4EB5-9EB5-36C8CCC7E157}"/>
    <cellStyle name="Currency 3 2 2 10 2" xfId="8676" xr:uid="{D3198EBE-364F-4FBE-8110-F0BD405E64F9}"/>
    <cellStyle name="Currency 3 2 2 11" xfId="6293" xr:uid="{8CD382FA-B07E-42AD-BCF0-72487E4ADCB5}"/>
    <cellStyle name="Currency 3 2 2 12" xfId="1989" xr:uid="{D3CCE43A-54DC-47AC-AD37-78D2A568596A}"/>
    <cellStyle name="Currency 3 2 2 13" xfId="1160" xr:uid="{CAC69EF3-FF82-4A80-856F-D2F6AAE6EFAE}"/>
    <cellStyle name="Currency 3 2 2 14" xfId="10526" xr:uid="{BD2A08F5-701A-46D2-9A16-C1C5E69971D4}"/>
    <cellStyle name="Currency 3 2 2 2" xfId="180" xr:uid="{00000000-0005-0000-0000-00003D010000}"/>
    <cellStyle name="Currency 3 2 2 2 10" xfId="6294" xr:uid="{B4DF80F7-7847-4BEF-A5E0-FC13717B6211}"/>
    <cellStyle name="Currency 3 2 2 2 11" xfId="1990" xr:uid="{3D6B07D6-6615-4F97-809A-06C29D278BA8}"/>
    <cellStyle name="Currency 3 2 2 2 12" xfId="1161" xr:uid="{4A072260-2112-4B9B-B75E-725923B7BA27}"/>
    <cellStyle name="Currency 3 2 2 2 13" xfId="10527" xr:uid="{7A5AC715-E5C3-4DCD-B474-0316865FF066}"/>
    <cellStyle name="Currency 3 2 2 2 2" xfId="181" xr:uid="{00000000-0005-0000-0000-00003E010000}"/>
    <cellStyle name="Currency 3 2 2 2 2 10" xfId="1991" xr:uid="{F728C867-E48A-4DAE-8B88-DBE4391B4D7B}"/>
    <cellStyle name="Currency 3 2 2 2 2 11" xfId="1162" xr:uid="{BE6D9212-93E5-4B0D-8DA8-AEAC2990C113}"/>
    <cellStyle name="Currency 3 2 2 2 2 12" xfId="10528" xr:uid="{CC14846A-193E-4EA6-88F0-5B009C878116}"/>
    <cellStyle name="Currency 3 2 2 2 2 2" xfId="717" xr:uid="{00000000-0005-0000-0000-00003F010000}"/>
    <cellStyle name="Currency 3 2 2 2 2 2 2" xfId="4636" xr:uid="{ED2B7530-D720-4E4E-916F-44E303993EA8}"/>
    <cellStyle name="Currency 3 2 2 2 2 2 2 2" xfId="8854" xr:uid="{EA8C31A2-D92D-4150-8788-2A01A06DA584}"/>
    <cellStyle name="Currency 3 2 2 2 2 2 3" xfId="6709" xr:uid="{F256B761-8AA4-4DA1-97AF-ED1A1893EAED}"/>
    <cellStyle name="Currency 3 2 2 2 2 2 4" xfId="2406" xr:uid="{D1537F55-ECB2-49DB-AA13-C37C2CCFDF9E}"/>
    <cellStyle name="Currency 3 2 2 2 2 2 5" xfId="1578" xr:uid="{DA103517-889E-4F61-813A-8C613499CEC0}"/>
    <cellStyle name="Currency 3 2 2 2 2 2 6" xfId="10944" xr:uid="{1B7AC951-31AA-456B-84F9-D84764F1C8F5}"/>
    <cellStyle name="Currency 3 2 2 2 2 3" xfId="2820" xr:uid="{C053FA70-048E-4AD6-984C-1DDA7C961E53}"/>
    <cellStyle name="Currency 3 2 2 2 2 3 2" xfId="5049" xr:uid="{B78BD298-9BCE-4BBE-8F11-C10CA2D1DAA2}"/>
    <cellStyle name="Currency 3 2 2 2 2 3 2 2" xfId="9267" xr:uid="{E15F1361-5AC0-4B2C-855F-9D3BAF2054E9}"/>
    <cellStyle name="Currency 3 2 2 2 2 3 3" xfId="7122" xr:uid="{9C4F2642-7233-4C9A-B263-47E9F88DEC2C}"/>
    <cellStyle name="Currency 3 2 2 2 2 4" xfId="3233" xr:uid="{42A1962C-45F4-4469-BDFD-B18F8FF444AA}"/>
    <cellStyle name="Currency 3 2 2 2 2 4 2" xfId="5462" xr:uid="{145490B9-3998-43D1-B88E-0531685A8C7E}"/>
    <cellStyle name="Currency 3 2 2 2 2 4 2 2" xfId="9680" xr:uid="{21E9F0D9-E45F-45A4-A950-5D3533702706}"/>
    <cellStyle name="Currency 3 2 2 2 2 4 3" xfId="7535" xr:uid="{69E6A2AB-A8A5-4682-9B4B-8BBD361F30A6}"/>
    <cellStyle name="Currency 3 2 2 2 2 5" xfId="3646" xr:uid="{2F564C56-DDCC-4934-8D06-A0C6DCD29D67}"/>
    <cellStyle name="Currency 3 2 2 2 2 5 2" xfId="5875" xr:uid="{5B5374AB-D430-477A-BD7E-3B596A65DFC8}"/>
    <cellStyle name="Currency 3 2 2 2 2 5 2 2" xfId="10093" xr:uid="{96CDA07D-D61B-4E92-9F2E-A224FC805166}"/>
    <cellStyle name="Currency 3 2 2 2 2 5 3" xfId="7948" xr:uid="{26B470C4-A95F-43BE-BD23-313C79E47EBF}"/>
    <cellStyle name="Currency 3 2 2 2 2 6" xfId="4081" xr:uid="{24E76930-AF6D-41D0-85D0-458820B242EE}"/>
    <cellStyle name="Currency 3 2 2 2 2 6 2" xfId="8361" xr:uid="{E0782032-5A28-4F09-A080-D4A0403C4C1A}"/>
    <cellStyle name="Currency 3 2 2 2 2 7" xfId="4378" xr:uid="{144EFADD-C4E7-445D-BF36-616DC505B24E}"/>
    <cellStyle name="Currency 3 2 2 2 2 8" xfId="4459" xr:uid="{A69A991F-E008-4F22-826D-A2BE9108662A}"/>
    <cellStyle name="Currency 3 2 2 2 2 8 2" xfId="8678" xr:uid="{14AE3349-B4BB-4865-9427-A201079C1295}"/>
    <cellStyle name="Currency 3 2 2 2 2 9" xfId="6295" xr:uid="{1E42E3C8-ABEC-468C-97DA-38B9E627EB7F}"/>
    <cellStyle name="Currency 3 2 2 2 3" xfId="716" xr:uid="{00000000-0005-0000-0000-000040010000}"/>
    <cellStyle name="Currency 3 2 2 2 3 2" xfId="4635" xr:uid="{72B9F6CC-D8A7-4AF0-927C-329459B48662}"/>
    <cellStyle name="Currency 3 2 2 2 3 2 2" xfId="8853" xr:uid="{646187C0-FDD3-4388-A78F-F1BAC36966AE}"/>
    <cellStyle name="Currency 3 2 2 2 3 3" xfId="6708" xr:uid="{1FD23E60-D152-4207-A7D7-CF62F43BA27C}"/>
    <cellStyle name="Currency 3 2 2 2 3 4" xfId="2405" xr:uid="{B8258CC2-2916-4C6F-8256-FD883E353162}"/>
    <cellStyle name="Currency 3 2 2 2 3 5" xfId="1577" xr:uid="{0B0DF80B-5957-4708-8839-BF288E8E4B22}"/>
    <cellStyle name="Currency 3 2 2 2 3 6" xfId="10943" xr:uid="{3503F69C-F287-476A-9A51-F63AEC710F8D}"/>
    <cellStyle name="Currency 3 2 2 2 4" xfId="2819" xr:uid="{7AE57D5C-C9FD-4DC0-8BA8-5A88B10422B9}"/>
    <cellStyle name="Currency 3 2 2 2 4 2" xfId="5048" xr:uid="{6844AE86-1C06-4DE5-97A7-53222211E341}"/>
    <cellStyle name="Currency 3 2 2 2 4 2 2" xfId="9266" xr:uid="{470F8600-B9F4-4FC2-8212-71BD01518D21}"/>
    <cellStyle name="Currency 3 2 2 2 4 3" xfId="7121" xr:uid="{D4022597-50EB-4EAC-A471-D514307740A3}"/>
    <cellStyle name="Currency 3 2 2 2 5" xfId="3232" xr:uid="{31A09F8C-4658-4502-8932-1AA7D905C70D}"/>
    <cellStyle name="Currency 3 2 2 2 5 2" xfId="5461" xr:uid="{2C463852-7054-4488-A1B5-5949BF510A8B}"/>
    <cellStyle name="Currency 3 2 2 2 5 2 2" xfId="9679" xr:uid="{5CB66F77-586A-46C2-A86C-5509469F68C3}"/>
    <cellStyle name="Currency 3 2 2 2 5 3" xfId="7534" xr:uid="{4942C88E-8F67-4D78-9174-9516BE220AB5}"/>
    <cellStyle name="Currency 3 2 2 2 6" xfId="3645" xr:uid="{64AB0EEE-D287-4C4F-89A7-9FF614BEA424}"/>
    <cellStyle name="Currency 3 2 2 2 6 2" xfId="5874" xr:uid="{CC548C8A-E1E5-43AF-9FA5-C5A6E55DB30C}"/>
    <cellStyle name="Currency 3 2 2 2 6 2 2" xfId="10092" xr:uid="{24AEE79F-49A6-4A39-B8CD-55F5EE4D2530}"/>
    <cellStyle name="Currency 3 2 2 2 6 3" xfId="7947" xr:uid="{FA28BE27-3A6B-4E18-B2D8-CA620FDDC115}"/>
    <cellStyle name="Currency 3 2 2 2 7" xfId="4080" xr:uid="{03D99544-CCF0-449A-912D-E2CC225973A8}"/>
    <cellStyle name="Currency 3 2 2 2 7 2" xfId="8360" xr:uid="{D5CC5197-BE2E-4481-A54E-508A7E75402C}"/>
    <cellStyle name="Currency 3 2 2 2 8" xfId="4377" xr:uid="{F2630E26-E1C9-4342-872F-710C56C57785}"/>
    <cellStyle name="Currency 3 2 2 2 9" xfId="4458" xr:uid="{73A650F3-FD01-45F8-B271-3D348DF6793A}"/>
    <cellStyle name="Currency 3 2 2 2 9 2" xfId="8677" xr:uid="{E14C3CAB-DDBB-490A-9A8A-706B0CDD09A0}"/>
    <cellStyle name="Currency 3 2 2 3" xfId="182" xr:uid="{00000000-0005-0000-0000-000041010000}"/>
    <cellStyle name="Currency 3 2 2 3 10" xfId="1992" xr:uid="{258CEEC4-7151-4D70-BE4A-F5AC430E5AA1}"/>
    <cellStyle name="Currency 3 2 2 3 11" xfId="1163" xr:uid="{4F5890DF-EFD9-420C-9BF6-E0C0C18E8537}"/>
    <cellStyle name="Currency 3 2 2 3 12" xfId="10529" xr:uid="{CDE27989-CA27-4A9D-92C9-86E3FD5CF9F9}"/>
    <cellStyle name="Currency 3 2 2 3 2" xfId="718" xr:uid="{00000000-0005-0000-0000-000042010000}"/>
    <cellStyle name="Currency 3 2 2 3 2 2" xfId="4637" xr:uid="{5F843963-46D3-489B-9902-9066B9A744CE}"/>
    <cellStyle name="Currency 3 2 2 3 2 2 2" xfId="8855" xr:uid="{C47C8E27-32DF-47B8-AA8E-E8B3DB327C6D}"/>
    <cellStyle name="Currency 3 2 2 3 2 3" xfId="6710" xr:uid="{5F2EBA1F-6E62-4553-BA2A-E3E297B7F482}"/>
    <cellStyle name="Currency 3 2 2 3 2 4" xfId="2407" xr:uid="{309C50D0-31D3-4EB2-9D0C-AD3EB40F91A4}"/>
    <cellStyle name="Currency 3 2 2 3 2 5" xfId="1579" xr:uid="{B340BFAD-D44E-4F17-8762-82A12C53A769}"/>
    <cellStyle name="Currency 3 2 2 3 2 6" xfId="10945" xr:uid="{1A6D6501-14C2-459F-A94B-BE93EDACB6EC}"/>
    <cellStyle name="Currency 3 2 2 3 3" xfId="2821" xr:uid="{D2DC59B5-4686-4A8D-850E-C6D1ED607DF5}"/>
    <cellStyle name="Currency 3 2 2 3 3 2" xfId="5050" xr:uid="{AC98D573-DD7E-4690-8EA7-3711CCDCA91A}"/>
    <cellStyle name="Currency 3 2 2 3 3 2 2" xfId="9268" xr:uid="{514BC6D4-CD7D-4A9D-BFCF-5600E54CC3F3}"/>
    <cellStyle name="Currency 3 2 2 3 3 3" xfId="7123" xr:uid="{A425C0A5-A952-4D92-B237-4243CFC36D61}"/>
    <cellStyle name="Currency 3 2 2 3 4" xfId="3234" xr:uid="{8372260B-2F19-46B4-AFA9-80DA0B6F2D8D}"/>
    <cellStyle name="Currency 3 2 2 3 4 2" xfId="5463" xr:uid="{91CD9AE5-5DF9-466C-9B71-F0862DCB5D7F}"/>
    <cellStyle name="Currency 3 2 2 3 4 2 2" xfId="9681" xr:uid="{7D916967-AC7C-4A08-84C8-70D96CC92DA0}"/>
    <cellStyle name="Currency 3 2 2 3 4 3" xfId="7536" xr:uid="{26FFCB01-6487-4063-84C0-4B98AA966D71}"/>
    <cellStyle name="Currency 3 2 2 3 5" xfId="3647" xr:uid="{9307ECE3-A0B0-4AEE-A233-90BF66264B19}"/>
    <cellStyle name="Currency 3 2 2 3 5 2" xfId="5876" xr:uid="{24835037-A734-4AA5-BBD7-C0D99DF11684}"/>
    <cellStyle name="Currency 3 2 2 3 5 2 2" xfId="10094" xr:uid="{F151E8FA-4731-4D8D-960C-E37845D3E0EC}"/>
    <cellStyle name="Currency 3 2 2 3 5 3" xfId="7949" xr:uid="{C9E91C64-04A2-47AE-888E-8F82A611F445}"/>
    <cellStyle name="Currency 3 2 2 3 6" xfId="4082" xr:uid="{2183C179-7541-4538-8FAF-8CC47F363CA0}"/>
    <cellStyle name="Currency 3 2 2 3 6 2" xfId="8362" xr:uid="{B6C37917-0312-42D4-A099-F09405225AD3}"/>
    <cellStyle name="Currency 3 2 2 3 7" xfId="4379" xr:uid="{8CD36CA1-C817-4375-BCDF-09AEEAE52835}"/>
    <cellStyle name="Currency 3 2 2 3 8" xfId="4460" xr:uid="{B468C9F1-2E62-40E0-B5A0-C77A2818DAA3}"/>
    <cellStyle name="Currency 3 2 2 3 8 2" xfId="8679" xr:uid="{6D24F8B8-40D3-404E-8BD4-BAC6B3E948C9}"/>
    <cellStyle name="Currency 3 2 2 3 9" xfId="6296" xr:uid="{C4929927-A8C3-4F18-AA43-C730A38CE9B5}"/>
    <cellStyle name="Currency 3 2 2 4" xfId="715" xr:uid="{00000000-0005-0000-0000-000043010000}"/>
    <cellStyle name="Currency 3 2 2 4 2" xfId="4634" xr:uid="{5B1296C1-D077-4B9E-9321-C675A9F539F2}"/>
    <cellStyle name="Currency 3 2 2 4 2 2" xfId="8852" xr:uid="{30BA5C96-678C-4D5E-9752-8D585616CDE3}"/>
    <cellStyle name="Currency 3 2 2 4 3" xfId="6707" xr:uid="{DCF830B1-64A2-40B1-8B36-182C1D14F55D}"/>
    <cellStyle name="Currency 3 2 2 4 4" xfId="2404" xr:uid="{B913B8C9-EC93-498E-831A-33EC1115B016}"/>
    <cellStyle name="Currency 3 2 2 4 5" xfId="1576" xr:uid="{207F75EC-3C09-4C00-A09E-ACEF3FA6EDC7}"/>
    <cellStyle name="Currency 3 2 2 4 6" xfId="10942" xr:uid="{73F8F869-1E56-475D-8FCB-53769E4537B7}"/>
    <cellStyle name="Currency 3 2 2 5" xfId="2818" xr:uid="{317CDA5D-D581-4D97-83F6-775E1BB31C1B}"/>
    <cellStyle name="Currency 3 2 2 5 2" xfId="5047" xr:uid="{44F0A28A-9DBE-4DED-9290-8DF406B52A01}"/>
    <cellStyle name="Currency 3 2 2 5 2 2" xfId="9265" xr:uid="{99CB2EA6-942F-4610-9DC8-5703873EDC48}"/>
    <cellStyle name="Currency 3 2 2 5 3" xfId="7120" xr:uid="{A1E37F7E-220A-4FE6-AA71-9DCDF1138AF8}"/>
    <cellStyle name="Currency 3 2 2 6" xfId="3231" xr:uid="{EAFDD216-5529-4B7A-B938-7A1D68C01A68}"/>
    <cellStyle name="Currency 3 2 2 6 2" xfId="5460" xr:uid="{7E1E1D58-BDF4-47C0-B2D5-96FE734AC560}"/>
    <cellStyle name="Currency 3 2 2 6 2 2" xfId="9678" xr:uid="{AC75D1B4-1B05-45CB-A2F7-6560745E2AE0}"/>
    <cellStyle name="Currency 3 2 2 6 3" xfId="7533" xr:uid="{409A97F4-BC0F-4B9A-9DF5-AAD0BEAC74E1}"/>
    <cellStyle name="Currency 3 2 2 7" xfId="3644" xr:uid="{38BD45F7-69EA-4CCE-9621-75D0625FBDD9}"/>
    <cellStyle name="Currency 3 2 2 7 2" xfId="5873" xr:uid="{31BB20FE-9723-4F85-B781-21BA9EF43BA1}"/>
    <cellStyle name="Currency 3 2 2 7 2 2" xfId="10091" xr:uid="{CAA31D76-C404-4BCF-B07A-9F270EF41B84}"/>
    <cellStyle name="Currency 3 2 2 7 3" xfId="7946" xr:uid="{DCD98D2E-56BE-4B87-A8E5-A40A04D141EE}"/>
    <cellStyle name="Currency 3 2 2 8" xfId="4079" xr:uid="{01120774-A4C8-4FC0-8966-65D12E03EF3F}"/>
    <cellStyle name="Currency 3 2 2 8 2" xfId="8359" xr:uid="{B0377CA0-8B5D-48E9-AF48-80175F8BA324}"/>
    <cellStyle name="Currency 3 2 2 9" xfId="4376" xr:uid="{80F72038-DA1E-4212-887B-C1F7224C66DD}"/>
    <cellStyle name="Currency 3 2 3" xfId="183" xr:uid="{00000000-0005-0000-0000-000044010000}"/>
    <cellStyle name="Currency 3 2 3 10" xfId="6297" xr:uid="{5748D1AD-520E-442D-B13F-9D4D8C9CD52F}"/>
    <cellStyle name="Currency 3 2 3 11" xfId="1993" xr:uid="{B3A35EB0-8C9A-4891-8B51-D42292D90579}"/>
    <cellStyle name="Currency 3 2 3 12" xfId="1164" xr:uid="{F8FF0A5C-B887-4F0D-ABD7-D1683A0D39E1}"/>
    <cellStyle name="Currency 3 2 3 13" xfId="10530" xr:uid="{72FA33F5-C663-4D36-8A79-A75CCF40CC6F}"/>
    <cellStyle name="Currency 3 2 3 2" xfId="184" xr:uid="{00000000-0005-0000-0000-000045010000}"/>
    <cellStyle name="Currency 3 2 3 2 10" xfId="1994" xr:uid="{B1216127-8F5D-4656-91B2-C25ADC0F5FCD}"/>
    <cellStyle name="Currency 3 2 3 2 11" xfId="1165" xr:uid="{4AF68854-1438-4660-A3E1-55FF49D934C7}"/>
    <cellStyle name="Currency 3 2 3 2 12" xfId="10531" xr:uid="{B6C56A74-DE92-4545-B001-0F33336D53EE}"/>
    <cellStyle name="Currency 3 2 3 2 2" xfId="720" xr:uid="{00000000-0005-0000-0000-000046010000}"/>
    <cellStyle name="Currency 3 2 3 2 2 2" xfId="4639" xr:uid="{0D507EC4-2FEA-4140-BC86-FE72FB3698E1}"/>
    <cellStyle name="Currency 3 2 3 2 2 2 2" xfId="8857" xr:uid="{3DEFF7EA-AF0A-4B56-B8FB-321936495917}"/>
    <cellStyle name="Currency 3 2 3 2 2 3" xfId="6712" xr:uid="{A3040A1E-2DC5-43EA-B016-FD611FA2DE44}"/>
    <cellStyle name="Currency 3 2 3 2 2 4" xfId="2409" xr:uid="{724D122B-B6BA-4D94-9EBB-19EED0307646}"/>
    <cellStyle name="Currency 3 2 3 2 2 5" xfId="1581" xr:uid="{092439D2-C1F2-4A02-A22B-67E8EDDAABCD}"/>
    <cellStyle name="Currency 3 2 3 2 2 6" xfId="10947" xr:uid="{04E70638-7CE2-4344-A31F-2CA4204BE4ED}"/>
    <cellStyle name="Currency 3 2 3 2 3" xfId="2823" xr:uid="{61BF2C1B-0B2D-427F-AC83-8E39BE937629}"/>
    <cellStyle name="Currency 3 2 3 2 3 2" xfId="5052" xr:uid="{4B7C6DD5-61E5-4DF3-BB2C-778B1820C358}"/>
    <cellStyle name="Currency 3 2 3 2 3 2 2" xfId="9270" xr:uid="{18305795-B3C0-4B3E-B0A6-158CF36B3EBD}"/>
    <cellStyle name="Currency 3 2 3 2 3 3" xfId="7125" xr:uid="{D4C9AE62-78FA-476B-98B9-396EA63C5EB2}"/>
    <cellStyle name="Currency 3 2 3 2 4" xfId="3236" xr:uid="{E5DF2DA6-3C75-4B99-8FFD-F82A64E87E84}"/>
    <cellStyle name="Currency 3 2 3 2 4 2" xfId="5465" xr:uid="{11E0083C-281C-4219-90A4-7379FB785312}"/>
    <cellStyle name="Currency 3 2 3 2 4 2 2" xfId="9683" xr:uid="{AB281DFE-368B-4CB1-B946-BA681F978676}"/>
    <cellStyle name="Currency 3 2 3 2 4 3" xfId="7538" xr:uid="{19B827A9-CA51-40D3-89CF-913EC5D78920}"/>
    <cellStyle name="Currency 3 2 3 2 5" xfId="3649" xr:uid="{A724E308-3CE2-439E-9500-145A57B6F660}"/>
    <cellStyle name="Currency 3 2 3 2 5 2" xfId="5878" xr:uid="{1A8BCA43-7889-4943-B45A-D27A6F81F9D5}"/>
    <cellStyle name="Currency 3 2 3 2 5 2 2" xfId="10096" xr:uid="{FFA552FB-3D1C-4818-A3FD-4FFE557016C1}"/>
    <cellStyle name="Currency 3 2 3 2 5 3" xfId="7951" xr:uid="{3AD9DB07-9A94-4E5C-A0B2-A3ED31F6D3C4}"/>
    <cellStyle name="Currency 3 2 3 2 6" xfId="4084" xr:uid="{FE8E394E-B211-4EB2-888A-C0F85DF021F6}"/>
    <cellStyle name="Currency 3 2 3 2 6 2" xfId="8364" xr:uid="{1724F6A2-167A-4601-A90F-5BF1219855C5}"/>
    <cellStyle name="Currency 3 2 3 2 7" xfId="4381" xr:uid="{68C810E2-F44C-4740-8E2E-0AF6EE0E1D7D}"/>
    <cellStyle name="Currency 3 2 3 2 8" xfId="4462" xr:uid="{98130163-E379-4AB7-B1A6-B733E9025692}"/>
    <cellStyle name="Currency 3 2 3 2 8 2" xfId="8681" xr:uid="{4D6D95FF-80C9-46B9-9509-3EE94D6E97EE}"/>
    <cellStyle name="Currency 3 2 3 2 9" xfId="6298" xr:uid="{CA438E29-BD7E-43A7-8D53-741372FCEE87}"/>
    <cellStyle name="Currency 3 2 3 3" xfId="719" xr:uid="{00000000-0005-0000-0000-000047010000}"/>
    <cellStyle name="Currency 3 2 3 3 2" xfId="4638" xr:uid="{83AFFAA6-9655-4349-927E-AC76F317A200}"/>
    <cellStyle name="Currency 3 2 3 3 2 2" xfId="8856" xr:uid="{9F00A811-CA14-451B-B5B0-5F185460833B}"/>
    <cellStyle name="Currency 3 2 3 3 3" xfId="6711" xr:uid="{828922E3-7897-49F3-8B59-F703655031DD}"/>
    <cellStyle name="Currency 3 2 3 3 4" xfId="2408" xr:uid="{6E9A9568-6123-4D0C-AF61-A3355AAB2A3F}"/>
    <cellStyle name="Currency 3 2 3 3 5" xfId="1580" xr:uid="{9B52D8E6-9502-4261-8634-94A5F18B3FFB}"/>
    <cellStyle name="Currency 3 2 3 3 6" xfId="10946" xr:uid="{F6AA73B8-9591-4380-97F7-C43C27A999DD}"/>
    <cellStyle name="Currency 3 2 3 4" xfId="2822" xr:uid="{00026C97-EDC4-44D8-9ACA-ACBFE04C17BC}"/>
    <cellStyle name="Currency 3 2 3 4 2" xfId="5051" xr:uid="{6EAF21FB-5CD7-491C-9A39-609092A833FF}"/>
    <cellStyle name="Currency 3 2 3 4 2 2" xfId="9269" xr:uid="{7E98B34B-D5EA-4418-A299-51F2EA2296B3}"/>
    <cellStyle name="Currency 3 2 3 4 3" xfId="7124" xr:uid="{DFD19B66-7647-4F8B-98F2-5690B9B14D43}"/>
    <cellStyle name="Currency 3 2 3 5" xfId="3235" xr:uid="{C2CF4186-B275-4075-AC3E-AD4B71F6AD22}"/>
    <cellStyle name="Currency 3 2 3 5 2" xfId="5464" xr:uid="{1C4963EB-3E18-42C7-8C54-160B997082FA}"/>
    <cellStyle name="Currency 3 2 3 5 2 2" xfId="9682" xr:uid="{92A7A323-1FF8-4C1B-B92F-10797BBCF31D}"/>
    <cellStyle name="Currency 3 2 3 5 3" xfId="7537" xr:uid="{FD9C1671-9347-4F0D-AE34-2A982FC439EE}"/>
    <cellStyle name="Currency 3 2 3 6" xfId="3648" xr:uid="{F88F963B-DF93-4F2C-A3E6-DA4C7C00C137}"/>
    <cellStyle name="Currency 3 2 3 6 2" xfId="5877" xr:uid="{6BA1BA69-2210-4D61-90DE-B2E57E49FE0C}"/>
    <cellStyle name="Currency 3 2 3 6 2 2" xfId="10095" xr:uid="{96D85665-4185-4E3E-9160-3A4A121E13C3}"/>
    <cellStyle name="Currency 3 2 3 6 3" xfId="7950" xr:uid="{60427AA0-1350-44A4-A477-D82FD91A59B1}"/>
    <cellStyle name="Currency 3 2 3 7" xfId="4083" xr:uid="{9BEEAA79-2B30-4BF2-AEF5-702C7710B194}"/>
    <cellStyle name="Currency 3 2 3 7 2" xfId="8363" xr:uid="{5ECE90A4-1BA4-41B6-8E16-2A7230C77106}"/>
    <cellStyle name="Currency 3 2 3 8" xfId="4380" xr:uid="{C8689073-6E2C-4FB1-AB49-06B6694968DB}"/>
    <cellStyle name="Currency 3 2 3 9" xfId="4461" xr:uid="{77DB6B71-0812-4B5B-94F5-8854FD5665D6}"/>
    <cellStyle name="Currency 3 2 3 9 2" xfId="8680" xr:uid="{32E68A5A-FB3F-46AB-8EC0-370A3AE6F71D}"/>
    <cellStyle name="Currency 3 2 4" xfId="185" xr:uid="{00000000-0005-0000-0000-000048010000}"/>
    <cellStyle name="Currency 3 2 4 10" xfId="1995" xr:uid="{EFA4E34A-1AE1-497C-96D5-344E30207C34}"/>
    <cellStyle name="Currency 3 2 4 11" xfId="1166" xr:uid="{7B659883-CCAD-4ED8-ADD7-CA2CDE132E58}"/>
    <cellStyle name="Currency 3 2 4 12" xfId="10532" xr:uid="{E9A6BA66-DEDE-4EF3-B2DB-631594097BBA}"/>
    <cellStyle name="Currency 3 2 4 2" xfId="721" xr:uid="{00000000-0005-0000-0000-000049010000}"/>
    <cellStyle name="Currency 3 2 4 2 2" xfId="4640" xr:uid="{11DC3854-3590-4B3A-80E7-40BDDE109E0B}"/>
    <cellStyle name="Currency 3 2 4 2 2 2" xfId="8858" xr:uid="{07FBA702-84CC-463C-981F-A17FCABC996E}"/>
    <cellStyle name="Currency 3 2 4 2 3" xfId="6713" xr:uid="{31F418E1-15DB-4952-883C-4C55A4DF5834}"/>
    <cellStyle name="Currency 3 2 4 2 4" xfId="2410" xr:uid="{60BD2DF0-49A6-45BC-B1B3-B7FE2C24C3BB}"/>
    <cellStyle name="Currency 3 2 4 2 5" xfId="1582" xr:uid="{9EC22F17-335D-4320-AE56-C95DD5F699FD}"/>
    <cellStyle name="Currency 3 2 4 2 6" xfId="10948" xr:uid="{4ADD63D6-C48B-4522-88D5-E284C4DC665C}"/>
    <cellStyle name="Currency 3 2 4 3" xfId="2824" xr:uid="{AB37E3EA-C8A2-4B2D-A4DF-91FBE8DDBF19}"/>
    <cellStyle name="Currency 3 2 4 3 2" xfId="5053" xr:uid="{667698D7-1CE5-4537-9A09-81B24C8A44DE}"/>
    <cellStyle name="Currency 3 2 4 3 2 2" xfId="9271" xr:uid="{CB8F7E94-02D0-471B-A8D2-6C590A9D40B7}"/>
    <cellStyle name="Currency 3 2 4 3 3" xfId="7126" xr:uid="{5C60A748-14F1-428C-A33D-BBADC4DC6122}"/>
    <cellStyle name="Currency 3 2 4 4" xfId="3237" xr:uid="{A8643BF9-CFA2-4C6A-B8F2-D0A5C678EEDF}"/>
    <cellStyle name="Currency 3 2 4 4 2" xfId="5466" xr:uid="{D73063A9-040C-48B9-9EA9-754935D6A719}"/>
    <cellStyle name="Currency 3 2 4 4 2 2" xfId="9684" xr:uid="{6FBBF34C-7C58-4B47-BF5E-2D5E2548395B}"/>
    <cellStyle name="Currency 3 2 4 4 3" xfId="7539" xr:uid="{8ACF058D-4FCE-43AF-B80D-E7A1D0A7D330}"/>
    <cellStyle name="Currency 3 2 4 5" xfId="3650" xr:uid="{E4D7D658-7254-436E-B333-093ED6D1680F}"/>
    <cellStyle name="Currency 3 2 4 5 2" xfId="5879" xr:uid="{05536BCF-FB86-442E-AD16-071478DCE32C}"/>
    <cellStyle name="Currency 3 2 4 5 2 2" xfId="10097" xr:uid="{99F7C2B5-3051-46EE-A381-E56652251CD4}"/>
    <cellStyle name="Currency 3 2 4 5 3" xfId="7952" xr:uid="{24AB9AD1-1183-4586-8A52-76C0805A5FAE}"/>
    <cellStyle name="Currency 3 2 4 6" xfId="4085" xr:uid="{4985D806-2544-40D9-9B60-E0743FE4AFD0}"/>
    <cellStyle name="Currency 3 2 4 6 2" xfId="8365" xr:uid="{446E00E3-26C2-44CA-9FB5-1B5B1452FFFC}"/>
    <cellStyle name="Currency 3 2 4 7" xfId="4382" xr:uid="{870F5BF7-CDF3-4944-8D38-BEBC7D90B77D}"/>
    <cellStyle name="Currency 3 2 4 8" xfId="4463" xr:uid="{87418232-1E01-4019-A618-21DFEFDF9A62}"/>
    <cellStyle name="Currency 3 2 4 8 2" xfId="8682" xr:uid="{DB3B3F11-BEF7-49A1-9356-8D5135C37ED1}"/>
    <cellStyle name="Currency 3 2 4 9" xfId="6299" xr:uid="{1851178A-CDA6-4248-8B97-8D26A4038227}"/>
    <cellStyle name="Currency 3 2 5" xfId="186" xr:uid="{00000000-0005-0000-0000-00004A010000}"/>
    <cellStyle name="Currency 3 2 5 10" xfId="1996" xr:uid="{1D1D7DE0-D732-4972-ABCB-DF23A63127C1}"/>
    <cellStyle name="Currency 3 2 5 11" xfId="1167" xr:uid="{81FD964A-7EB2-4A0A-9465-CCC87D8E9E57}"/>
    <cellStyle name="Currency 3 2 5 12" xfId="10533" xr:uid="{F83A4E36-E40A-4083-AD3C-35AA97035705}"/>
    <cellStyle name="Currency 3 2 5 2" xfId="722" xr:uid="{00000000-0005-0000-0000-00004B010000}"/>
    <cellStyle name="Currency 3 2 5 2 2" xfId="4641" xr:uid="{A1CB8362-3F16-4413-9CB8-31D9E619A23A}"/>
    <cellStyle name="Currency 3 2 5 2 2 2" xfId="8859" xr:uid="{EC1999A4-C10C-4C41-A189-D5C0E9870348}"/>
    <cellStyle name="Currency 3 2 5 2 3" xfId="6714" xr:uid="{75222548-A128-49E6-8457-F27290DAB89B}"/>
    <cellStyle name="Currency 3 2 5 2 4" xfId="2411" xr:uid="{424C56BF-32BB-4BFC-AFE6-8794B7CA4CE3}"/>
    <cellStyle name="Currency 3 2 5 2 5" xfId="1583" xr:uid="{E96FCA5E-562B-4C23-B374-2B8E2DE66805}"/>
    <cellStyle name="Currency 3 2 5 2 6" xfId="10949" xr:uid="{F6D7A08A-E370-40BC-8C65-23F748C0166A}"/>
    <cellStyle name="Currency 3 2 5 3" xfId="2825" xr:uid="{DCA71247-0F4D-4795-BF35-007D7D9A80A4}"/>
    <cellStyle name="Currency 3 2 5 3 2" xfId="5054" xr:uid="{DBB22841-0EFE-4FE2-A8BB-43893B6A2A24}"/>
    <cellStyle name="Currency 3 2 5 3 2 2" xfId="9272" xr:uid="{8020D938-7C9F-4A28-A472-E923E94A039E}"/>
    <cellStyle name="Currency 3 2 5 3 3" xfId="7127" xr:uid="{BFCDDCDF-C5A9-4FD5-993A-CB5DDD993FDF}"/>
    <cellStyle name="Currency 3 2 5 4" xfId="3238" xr:uid="{0E160C99-6E64-46A7-9A52-4047AEBEB7C2}"/>
    <cellStyle name="Currency 3 2 5 4 2" xfId="5467" xr:uid="{D0099507-4751-4CE5-A973-1B0DEDB2772F}"/>
    <cellStyle name="Currency 3 2 5 4 2 2" xfId="9685" xr:uid="{800F5FB2-E5CB-493D-9399-0A8ED2DF7F92}"/>
    <cellStyle name="Currency 3 2 5 4 3" xfId="7540" xr:uid="{0F6E2553-D0F0-4506-BBDC-0466B5282113}"/>
    <cellStyle name="Currency 3 2 5 5" xfId="3651" xr:uid="{DDAEB01B-29C9-4BFB-920B-63C228A424EC}"/>
    <cellStyle name="Currency 3 2 5 5 2" xfId="5880" xr:uid="{E9F44CB3-0135-49D2-BC85-725E7579A178}"/>
    <cellStyle name="Currency 3 2 5 5 2 2" xfId="10098" xr:uid="{869807A8-E77E-4CC4-BF77-2A6C2FA2BEAF}"/>
    <cellStyle name="Currency 3 2 5 5 3" xfId="7953" xr:uid="{41188110-BC82-4842-A457-FBE9E4FD0304}"/>
    <cellStyle name="Currency 3 2 5 6" xfId="4086" xr:uid="{D0A08ABA-45A6-461A-8861-B898FC726CAF}"/>
    <cellStyle name="Currency 3 2 5 6 2" xfId="8366" xr:uid="{28F25874-E045-49A1-813D-5C043CA86CA1}"/>
    <cellStyle name="Currency 3 2 5 7" xfId="4383" xr:uid="{22273E49-DB66-4EF6-888B-2D1154336F3F}"/>
    <cellStyle name="Currency 3 2 5 8" xfId="4464" xr:uid="{F8732971-5BBF-4273-A8AE-F3182D6ED38B}"/>
    <cellStyle name="Currency 3 2 5 8 2" xfId="8683" xr:uid="{AD7D580D-F6AF-4A0F-A1BE-DA00A85C35B5}"/>
    <cellStyle name="Currency 3 2 5 9" xfId="6300" xr:uid="{67D98E9E-99CD-4766-AFBF-5E740B287826}"/>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10" xfId="4465" xr:uid="{94A243DF-09CF-4311-9466-E519FB8B96FC}"/>
    <cellStyle name="Currency 5 2 2 2 10 2" xfId="8684" xr:uid="{670D1EB5-5B57-49C4-8C70-82C9EEB29CFC}"/>
    <cellStyle name="Currency 5 2 2 2 11" xfId="6301" xr:uid="{8C3CC151-BB5F-4AC3-8F21-2257F5331C24}"/>
    <cellStyle name="Currency 5 2 2 2 12" xfId="1997" xr:uid="{D04EB30E-3F4A-44C9-943F-89C6DEF05705}"/>
    <cellStyle name="Currency 5 2 2 2 13" xfId="1168" xr:uid="{429F1DC9-C0F2-43E4-BE55-04CF14094155}"/>
    <cellStyle name="Currency 5 2 2 2 14" xfId="10534" xr:uid="{07AAA2AF-2414-4689-AA39-A996EBDE86EF}"/>
    <cellStyle name="Currency 5 2 2 2 2" xfId="198" xr:uid="{00000000-0005-0000-0000-00005C010000}"/>
    <cellStyle name="Currency 5 2 2 2 2 10" xfId="6302" xr:uid="{8CC22E8C-9AE2-4926-A07A-2B440A487CC0}"/>
    <cellStyle name="Currency 5 2 2 2 2 11" xfId="1998" xr:uid="{B1EBBED5-703B-4C4E-9C16-482E696E798A}"/>
    <cellStyle name="Currency 5 2 2 2 2 12" xfId="1169" xr:uid="{C81F80BB-5A5A-4EB4-BB78-45574ABC5D0E}"/>
    <cellStyle name="Currency 5 2 2 2 2 13" xfId="10535" xr:uid="{F28EEDC5-17AD-4477-9B9C-29A2EBE125A5}"/>
    <cellStyle name="Currency 5 2 2 2 2 2" xfId="199" xr:uid="{00000000-0005-0000-0000-00005D010000}"/>
    <cellStyle name="Currency 5 2 2 2 2 2 10" xfId="1999" xr:uid="{875E6697-3725-49C7-9F0B-B3345E0EA763}"/>
    <cellStyle name="Currency 5 2 2 2 2 2 11" xfId="1170" xr:uid="{D8DB2C04-F2DF-47AD-8EF1-714F8BC3BF35}"/>
    <cellStyle name="Currency 5 2 2 2 2 2 12" xfId="10536" xr:uid="{97EBFA95-2583-4AF7-9404-7F804D550FA6}"/>
    <cellStyle name="Currency 5 2 2 2 2 2 2" xfId="732" xr:uid="{00000000-0005-0000-0000-00005E010000}"/>
    <cellStyle name="Currency 5 2 2 2 2 2 2 2" xfId="4644" xr:uid="{5B110B11-38B4-4632-88C0-01963FD47527}"/>
    <cellStyle name="Currency 5 2 2 2 2 2 2 2 2" xfId="8862" xr:uid="{5D012C40-D4D4-420D-9D13-3C982948C0F9}"/>
    <cellStyle name="Currency 5 2 2 2 2 2 2 3" xfId="6717" xr:uid="{CA744856-FE6F-40A1-BA67-7D40FBA4679E}"/>
    <cellStyle name="Currency 5 2 2 2 2 2 2 4" xfId="2414" xr:uid="{7795C804-E08F-4CB1-A859-08E16C774088}"/>
    <cellStyle name="Currency 5 2 2 2 2 2 2 5" xfId="1586" xr:uid="{1880956C-3C95-4D1C-BCA7-7607008CC3AD}"/>
    <cellStyle name="Currency 5 2 2 2 2 2 2 6" xfId="10952" xr:uid="{C8253CD9-2A0F-42D4-AE70-1722B49C64C6}"/>
    <cellStyle name="Currency 5 2 2 2 2 2 3" xfId="2828" xr:uid="{7E351853-5B1D-4B45-9DAF-36437E5F280E}"/>
    <cellStyle name="Currency 5 2 2 2 2 2 3 2" xfId="5057" xr:uid="{2523039C-1796-4D91-84EC-0E9C484B14F1}"/>
    <cellStyle name="Currency 5 2 2 2 2 2 3 2 2" xfId="9275" xr:uid="{F042F679-8A80-4B7A-8304-E76D9D41830A}"/>
    <cellStyle name="Currency 5 2 2 2 2 2 3 3" xfId="7130" xr:uid="{92A17C63-7EF4-4ADD-B481-248545A1F267}"/>
    <cellStyle name="Currency 5 2 2 2 2 2 4" xfId="3241" xr:uid="{DBF0D254-4E3C-4181-914A-8F73C2A2109A}"/>
    <cellStyle name="Currency 5 2 2 2 2 2 4 2" xfId="5470" xr:uid="{FEB16F5C-1411-46B1-93E3-739D4552B842}"/>
    <cellStyle name="Currency 5 2 2 2 2 2 4 2 2" xfId="9688" xr:uid="{9CB0BB3A-A92F-41A8-92F0-6E2AF66EDBDD}"/>
    <cellStyle name="Currency 5 2 2 2 2 2 4 3" xfId="7543" xr:uid="{6FD16D0D-5B5A-414D-8422-8AC11E88C1E2}"/>
    <cellStyle name="Currency 5 2 2 2 2 2 5" xfId="3654" xr:uid="{BA98EDA2-41DA-4884-B39A-4C756E6E8977}"/>
    <cellStyle name="Currency 5 2 2 2 2 2 5 2" xfId="5883" xr:uid="{8A045B4A-918C-4FE3-A4A5-B9CEDD1E26C0}"/>
    <cellStyle name="Currency 5 2 2 2 2 2 5 2 2" xfId="10101" xr:uid="{638CCD32-7A5B-489F-83DA-38F0E56FB73B}"/>
    <cellStyle name="Currency 5 2 2 2 2 2 5 3" xfId="7956" xr:uid="{F26031E8-F64B-44C5-B85E-2879C954238D}"/>
    <cellStyle name="Currency 5 2 2 2 2 2 6" xfId="4089" xr:uid="{437D19CE-4DA3-4E03-BB00-FA228269435C}"/>
    <cellStyle name="Currency 5 2 2 2 2 2 6 2" xfId="8369" xr:uid="{04E62383-4CC0-4292-B9A7-E005B11F64B4}"/>
    <cellStyle name="Currency 5 2 2 2 2 2 7" xfId="4386" xr:uid="{96B9E8EA-8876-4EB7-8612-103184018886}"/>
    <cellStyle name="Currency 5 2 2 2 2 2 8" xfId="4467" xr:uid="{128F2C14-A767-4DEC-B5C7-5C1B4E684CEC}"/>
    <cellStyle name="Currency 5 2 2 2 2 2 8 2" xfId="8686" xr:uid="{33A6186F-2119-4AE4-9734-4DAE34C87547}"/>
    <cellStyle name="Currency 5 2 2 2 2 2 9" xfId="6303" xr:uid="{241857DB-F0B6-4561-B8B6-98B8210DA947}"/>
    <cellStyle name="Currency 5 2 2 2 2 3" xfId="731" xr:uid="{00000000-0005-0000-0000-00005F010000}"/>
    <cellStyle name="Currency 5 2 2 2 2 3 2" xfId="4643" xr:uid="{2C29395D-DD61-467E-9B34-7E5548994B8E}"/>
    <cellStyle name="Currency 5 2 2 2 2 3 2 2" xfId="8861" xr:uid="{BAA969F1-FC18-4341-A7B6-B8EBD6A82BD2}"/>
    <cellStyle name="Currency 5 2 2 2 2 3 3" xfId="6716" xr:uid="{7C1F3CDC-2FDE-4981-9FC1-0FEEE0D5E640}"/>
    <cellStyle name="Currency 5 2 2 2 2 3 4" xfId="2413" xr:uid="{3354BF57-2E63-465F-9C0D-45D9920FFC5A}"/>
    <cellStyle name="Currency 5 2 2 2 2 3 5" xfId="1585" xr:uid="{BBF1417C-2124-4D9A-A964-7593B41C562F}"/>
    <cellStyle name="Currency 5 2 2 2 2 3 6" xfId="10951" xr:uid="{51CB81CE-351B-43A5-B933-02144FC580BD}"/>
    <cellStyle name="Currency 5 2 2 2 2 4" xfId="2827" xr:uid="{2CB385D5-9FEA-4DFA-8EB3-27AA09EEC003}"/>
    <cellStyle name="Currency 5 2 2 2 2 4 2" xfId="5056" xr:uid="{D6F8E248-80BF-451E-86D8-02DFB20AAA3F}"/>
    <cellStyle name="Currency 5 2 2 2 2 4 2 2" xfId="9274" xr:uid="{C3E151DC-4ACC-4B2A-8699-2D3276DC9BD1}"/>
    <cellStyle name="Currency 5 2 2 2 2 4 3" xfId="7129" xr:uid="{1304D896-94F1-4DAC-BF5D-8A2F864DBFC3}"/>
    <cellStyle name="Currency 5 2 2 2 2 5" xfId="3240" xr:uid="{0A4559B5-BD41-49FF-88D8-6116E464F6F0}"/>
    <cellStyle name="Currency 5 2 2 2 2 5 2" xfId="5469" xr:uid="{B31E20CA-257E-4737-9DF3-8CC152E62198}"/>
    <cellStyle name="Currency 5 2 2 2 2 5 2 2" xfId="9687" xr:uid="{1C3BB2CF-39E5-4216-A16A-4FA193985307}"/>
    <cellStyle name="Currency 5 2 2 2 2 5 3" xfId="7542" xr:uid="{8A9215C2-DF0F-4400-8DDF-C791E44F349D}"/>
    <cellStyle name="Currency 5 2 2 2 2 6" xfId="3653" xr:uid="{3D418312-49C3-40DD-A932-68A3B3052C87}"/>
    <cellStyle name="Currency 5 2 2 2 2 6 2" xfId="5882" xr:uid="{D6C2C88B-4319-40BA-A4A5-FF77A3FD6549}"/>
    <cellStyle name="Currency 5 2 2 2 2 6 2 2" xfId="10100" xr:uid="{3F45FDF7-2D40-4C81-9E57-A525DD493285}"/>
    <cellStyle name="Currency 5 2 2 2 2 6 3" xfId="7955" xr:uid="{1AF7C9A1-5483-4E8C-A8C3-745CCA8AFA01}"/>
    <cellStyle name="Currency 5 2 2 2 2 7" xfId="4088" xr:uid="{A678C175-EAE4-4DAF-87B6-CC4F5D0A2C07}"/>
    <cellStyle name="Currency 5 2 2 2 2 7 2" xfId="8368" xr:uid="{F2BF3F69-5265-4AD1-8652-BA9A897AD6C2}"/>
    <cellStyle name="Currency 5 2 2 2 2 8" xfId="4385" xr:uid="{AA24451D-5F60-4B50-BB64-0D891DCF029E}"/>
    <cellStyle name="Currency 5 2 2 2 2 9" xfId="4466" xr:uid="{39189326-FE76-404C-A3F0-B27B397FB8D3}"/>
    <cellStyle name="Currency 5 2 2 2 2 9 2" xfId="8685" xr:uid="{6F04CE63-6CCC-434A-80A5-2769C64E9075}"/>
    <cellStyle name="Currency 5 2 2 2 3" xfId="200" xr:uid="{00000000-0005-0000-0000-000060010000}"/>
    <cellStyle name="Currency 5 2 2 2 3 10" xfId="2000" xr:uid="{1BC6ACD1-D783-4113-BE48-C0BC3B555C8E}"/>
    <cellStyle name="Currency 5 2 2 2 3 11" xfId="1171" xr:uid="{FC39590C-7BCE-45C8-9512-AC7A45E2FBCB}"/>
    <cellStyle name="Currency 5 2 2 2 3 12" xfId="10537" xr:uid="{FCBB541B-4BB0-4CA7-A702-CDC8AF8CC075}"/>
    <cellStyle name="Currency 5 2 2 2 3 2" xfId="733" xr:uid="{00000000-0005-0000-0000-000061010000}"/>
    <cellStyle name="Currency 5 2 2 2 3 2 2" xfId="4645" xr:uid="{3584A0F6-F8F6-4A44-8B05-6A3D1BF5EEC1}"/>
    <cellStyle name="Currency 5 2 2 2 3 2 2 2" xfId="8863" xr:uid="{AECC8D2B-A52D-4431-AF89-78CA85FB9310}"/>
    <cellStyle name="Currency 5 2 2 2 3 2 3" xfId="6718" xr:uid="{AD47E5E9-ED13-4340-BEE6-6D535985209A}"/>
    <cellStyle name="Currency 5 2 2 2 3 2 4" xfId="2415" xr:uid="{3C87C282-8578-4E01-B941-94C72C4CD52B}"/>
    <cellStyle name="Currency 5 2 2 2 3 2 5" xfId="1587" xr:uid="{A10152FB-A271-41B1-8C9C-B9020548BF3C}"/>
    <cellStyle name="Currency 5 2 2 2 3 2 6" xfId="10953" xr:uid="{887559F0-0C9C-41EB-AFCC-E799FA1ABE6E}"/>
    <cellStyle name="Currency 5 2 2 2 3 3" xfId="2829" xr:uid="{947E2A13-9D0D-4931-9C84-1438A9ED4C52}"/>
    <cellStyle name="Currency 5 2 2 2 3 3 2" xfId="5058" xr:uid="{D9BB1EB8-74C1-4ACA-AF31-227EA81C82C4}"/>
    <cellStyle name="Currency 5 2 2 2 3 3 2 2" xfId="9276" xr:uid="{A6B50385-02F9-4086-A95A-78DF4DFE0958}"/>
    <cellStyle name="Currency 5 2 2 2 3 3 3" xfId="7131" xr:uid="{46B02D92-9A03-472F-A530-A24375DA84B3}"/>
    <cellStyle name="Currency 5 2 2 2 3 4" xfId="3242" xr:uid="{2C8431D2-E1B4-4B61-B58F-E8D882523C99}"/>
    <cellStyle name="Currency 5 2 2 2 3 4 2" xfId="5471" xr:uid="{8D6BA215-5EE4-4B27-860E-C9F541B1C307}"/>
    <cellStyle name="Currency 5 2 2 2 3 4 2 2" xfId="9689" xr:uid="{13D49C35-E910-47A1-B51C-8D73FA3043BF}"/>
    <cellStyle name="Currency 5 2 2 2 3 4 3" xfId="7544" xr:uid="{1A92426E-FC65-4876-B25F-96D6C24C3070}"/>
    <cellStyle name="Currency 5 2 2 2 3 5" xfId="3655" xr:uid="{8C41CE27-EDD3-44E9-964A-4C67B5071CA8}"/>
    <cellStyle name="Currency 5 2 2 2 3 5 2" xfId="5884" xr:uid="{0E68D8B7-A25F-4454-B55A-4A761B1240A0}"/>
    <cellStyle name="Currency 5 2 2 2 3 5 2 2" xfId="10102" xr:uid="{087BA424-93AC-4700-A985-4338B7564DC5}"/>
    <cellStyle name="Currency 5 2 2 2 3 5 3" xfId="7957" xr:uid="{4D9CEEF9-071B-4F0A-B1A2-02D9607C816B}"/>
    <cellStyle name="Currency 5 2 2 2 3 6" xfId="4090" xr:uid="{074E024B-2318-4504-BFC9-F76E667644AA}"/>
    <cellStyle name="Currency 5 2 2 2 3 6 2" xfId="8370" xr:uid="{507A0BD0-5836-4505-A759-5193D99E5574}"/>
    <cellStyle name="Currency 5 2 2 2 3 7" xfId="4387" xr:uid="{77976F90-125A-4033-BC0F-FE671D9A557B}"/>
    <cellStyle name="Currency 5 2 2 2 3 8" xfId="4468" xr:uid="{A06132FD-F718-435A-8CA4-E51CC491B8FC}"/>
    <cellStyle name="Currency 5 2 2 2 3 8 2" xfId="8687" xr:uid="{F3307DFA-4F9F-4A56-A99A-B8495B4EDAAC}"/>
    <cellStyle name="Currency 5 2 2 2 3 9" xfId="6304" xr:uid="{D6601DF9-BEF0-49CF-9830-7416509FE85E}"/>
    <cellStyle name="Currency 5 2 2 2 4" xfId="730" xr:uid="{00000000-0005-0000-0000-000062010000}"/>
    <cellStyle name="Currency 5 2 2 2 4 2" xfId="4642" xr:uid="{32946133-B55F-4531-94C4-01102F8648F3}"/>
    <cellStyle name="Currency 5 2 2 2 4 2 2" xfId="8860" xr:uid="{128121A1-B777-455C-8CC0-8D160F960324}"/>
    <cellStyle name="Currency 5 2 2 2 4 3" xfId="6715" xr:uid="{1F97E7CF-991C-4105-BA26-31EA8A351D62}"/>
    <cellStyle name="Currency 5 2 2 2 4 4" xfId="2412" xr:uid="{29220EF2-32D6-4A64-86B6-6DEC9A426E3F}"/>
    <cellStyle name="Currency 5 2 2 2 4 5" xfId="1584" xr:uid="{67316AC1-F815-425E-A4A3-8F34736BFF22}"/>
    <cellStyle name="Currency 5 2 2 2 4 6" xfId="10950" xr:uid="{9531C517-D702-4E87-846C-78073D038DCC}"/>
    <cellStyle name="Currency 5 2 2 2 5" xfId="2826" xr:uid="{B71349B1-81C6-43E6-879C-3501DB2C3533}"/>
    <cellStyle name="Currency 5 2 2 2 5 2" xfId="5055" xr:uid="{56E4E63D-AA31-4421-A8AD-3568647F04B7}"/>
    <cellStyle name="Currency 5 2 2 2 5 2 2" xfId="9273" xr:uid="{F0DB37EA-3A5A-4654-96D9-C6C180DE95BA}"/>
    <cellStyle name="Currency 5 2 2 2 5 3" xfId="7128" xr:uid="{3D32244A-9013-4680-A4EE-C5B9C4323B11}"/>
    <cellStyle name="Currency 5 2 2 2 6" xfId="3239" xr:uid="{D6024879-9060-47EB-BAE5-7A4212A1B499}"/>
    <cellStyle name="Currency 5 2 2 2 6 2" xfId="5468" xr:uid="{35DADB14-60E9-48E6-B3B4-28916DCDC21A}"/>
    <cellStyle name="Currency 5 2 2 2 6 2 2" xfId="9686" xr:uid="{25634F99-F8CF-4E2C-8CB8-59D59ED169ED}"/>
    <cellStyle name="Currency 5 2 2 2 6 3" xfId="7541" xr:uid="{DF982F25-F15D-454A-B7E7-463118905F8E}"/>
    <cellStyle name="Currency 5 2 2 2 7" xfId="3652" xr:uid="{512A3E5B-6BD1-4A3A-8AC5-277ED84B0B53}"/>
    <cellStyle name="Currency 5 2 2 2 7 2" xfId="5881" xr:uid="{58515616-66AC-4144-9373-551CA8748C4D}"/>
    <cellStyle name="Currency 5 2 2 2 7 2 2" xfId="10099" xr:uid="{41591348-384E-49A3-9DC5-C684CAB5C425}"/>
    <cellStyle name="Currency 5 2 2 2 7 3" xfId="7954" xr:uid="{DC3C4D1D-349E-44DC-B529-916CB8A67861}"/>
    <cellStyle name="Currency 5 2 2 2 8" xfId="4087" xr:uid="{6C7EE079-DB1A-4C3C-9499-0DB99F7929F2}"/>
    <cellStyle name="Currency 5 2 2 2 8 2" xfId="8367" xr:uid="{D5FC8E5D-F8DB-45DA-ABA4-B1A9D84FE522}"/>
    <cellStyle name="Currency 5 2 2 2 9" xfId="4384" xr:uid="{71011F5A-342E-4FED-803B-48DAFB89BA7F}"/>
    <cellStyle name="Currency 5 2 2 3" xfId="201" xr:uid="{00000000-0005-0000-0000-000063010000}"/>
    <cellStyle name="Currency 5 2 2 3 10" xfId="6305" xr:uid="{0DE9DF17-FB0F-43B5-8C28-74060430274B}"/>
    <cellStyle name="Currency 5 2 2 3 11" xfId="2001" xr:uid="{A2E156F9-33D8-4982-8F9C-A952346E4C68}"/>
    <cellStyle name="Currency 5 2 2 3 12" xfId="1172" xr:uid="{6A740F40-184F-411D-9770-F967036164EF}"/>
    <cellStyle name="Currency 5 2 2 3 13" xfId="10538" xr:uid="{D0711D46-0990-4BE6-B6FE-D16A81BCCCDA}"/>
    <cellStyle name="Currency 5 2 2 3 2" xfId="202" xr:uid="{00000000-0005-0000-0000-000064010000}"/>
    <cellStyle name="Currency 5 2 2 3 2 10" xfId="2002" xr:uid="{58230F23-9F3B-4414-B11E-7B4FCC66158D}"/>
    <cellStyle name="Currency 5 2 2 3 2 11" xfId="1173" xr:uid="{E2696D76-F2F8-4A21-B25E-ADD647A9E45B}"/>
    <cellStyle name="Currency 5 2 2 3 2 12" xfId="10539" xr:uid="{A06EE52B-31EC-4188-BC63-319B985097FA}"/>
    <cellStyle name="Currency 5 2 2 3 2 2" xfId="735" xr:uid="{00000000-0005-0000-0000-000065010000}"/>
    <cellStyle name="Currency 5 2 2 3 2 2 2" xfId="4647" xr:uid="{93E31668-BE32-401E-B59C-6F3D078E13AE}"/>
    <cellStyle name="Currency 5 2 2 3 2 2 2 2" xfId="8865" xr:uid="{671EF26D-29EC-46A3-990B-59F266A24323}"/>
    <cellStyle name="Currency 5 2 2 3 2 2 3" xfId="6720" xr:uid="{508D9F81-C5B5-4A9C-9F88-654583324984}"/>
    <cellStyle name="Currency 5 2 2 3 2 2 4" xfId="2417" xr:uid="{B6ED2E3A-F0C5-4F04-B682-8EEEC3A20803}"/>
    <cellStyle name="Currency 5 2 2 3 2 2 5" xfId="1589" xr:uid="{E460C820-3E4C-4B35-8126-3F1CDB17F4F2}"/>
    <cellStyle name="Currency 5 2 2 3 2 2 6" xfId="10955" xr:uid="{BBA5AD46-DA08-4139-9CA2-0EB1680E8E30}"/>
    <cellStyle name="Currency 5 2 2 3 2 3" xfId="2831" xr:uid="{E207E053-0C9B-47BD-9947-EA877D01C5CB}"/>
    <cellStyle name="Currency 5 2 2 3 2 3 2" xfId="5060" xr:uid="{6D59F1A7-932B-4EE8-AEE2-27C4C2A33E9A}"/>
    <cellStyle name="Currency 5 2 2 3 2 3 2 2" xfId="9278" xr:uid="{FB9CDF5D-3E43-44A5-BFB9-35BDE389A3C0}"/>
    <cellStyle name="Currency 5 2 2 3 2 3 3" xfId="7133" xr:uid="{6B21E0E5-BDE1-4449-ADDA-0DDEDF0619AB}"/>
    <cellStyle name="Currency 5 2 2 3 2 4" xfId="3244" xr:uid="{16A3DFCD-7F4B-4F76-981D-8C6F0DAF78D2}"/>
    <cellStyle name="Currency 5 2 2 3 2 4 2" xfId="5473" xr:uid="{B91B0D21-5E65-416A-B70F-6242CDF196DD}"/>
    <cellStyle name="Currency 5 2 2 3 2 4 2 2" xfId="9691" xr:uid="{D5A92DA5-BEDD-4223-8D36-F7460D65B681}"/>
    <cellStyle name="Currency 5 2 2 3 2 4 3" xfId="7546" xr:uid="{6D300AF8-7231-4AFF-89AE-CE5BFD683889}"/>
    <cellStyle name="Currency 5 2 2 3 2 5" xfId="3657" xr:uid="{54EB339D-3284-49AF-B68B-7DAA50BDC4D6}"/>
    <cellStyle name="Currency 5 2 2 3 2 5 2" xfId="5886" xr:uid="{2312CC6B-3450-4F40-A84A-F68FDB839D5C}"/>
    <cellStyle name="Currency 5 2 2 3 2 5 2 2" xfId="10104" xr:uid="{8AA026E1-F738-4281-A502-81F1D8C48687}"/>
    <cellStyle name="Currency 5 2 2 3 2 5 3" xfId="7959" xr:uid="{2980174F-5237-43F1-A17C-0917191096BF}"/>
    <cellStyle name="Currency 5 2 2 3 2 6" xfId="4092" xr:uid="{75CCAB1F-A0FB-421E-86EC-99338BA06CC0}"/>
    <cellStyle name="Currency 5 2 2 3 2 6 2" xfId="8372" xr:uid="{A62D199B-C09E-4277-91C8-A6623209D6D9}"/>
    <cellStyle name="Currency 5 2 2 3 2 7" xfId="4389" xr:uid="{4EBEBA75-C1B0-4441-8F57-A093727B2B04}"/>
    <cellStyle name="Currency 5 2 2 3 2 8" xfId="4470" xr:uid="{2C97D835-4A40-4916-8B69-3C318F5E164E}"/>
    <cellStyle name="Currency 5 2 2 3 2 8 2" xfId="8689" xr:uid="{7FBABD17-0A8A-484D-B92A-CBBA07BB3640}"/>
    <cellStyle name="Currency 5 2 2 3 2 9" xfId="6306" xr:uid="{50D2E91E-CBF5-4CD7-A027-E14175A2B84E}"/>
    <cellStyle name="Currency 5 2 2 3 3" xfId="734" xr:uid="{00000000-0005-0000-0000-000066010000}"/>
    <cellStyle name="Currency 5 2 2 3 3 2" xfId="4646" xr:uid="{FCE7903E-2D76-4D66-93F5-419700DB0271}"/>
    <cellStyle name="Currency 5 2 2 3 3 2 2" xfId="8864" xr:uid="{396E0267-2D41-4209-9F97-130CC78F9C11}"/>
    <cellStyle name="Currency 5 2 2 3 3 3" xfId="6719" xr:uid="{4F38D991-8ACD-48FC-A757-2EA7B04613EC}"/>
    <cellStyle name="Currency 5 2 2 3 3 4" xfId="2416" xr:uid="{7EF38075-6B20-46DF-8C95-75E9A8E51782}"/>
    <cellStyle name="Currency 5 2 2 3 3 5" xfId="1588" xr:uid="{5AFFB0F9-1DF2-4643-BA3A-7553760426B8}"/>
    <cellStyle name="Currency 5 2 2 3 3 6" xfId="10954" xr:uid="{32710D18-4E5A-4934-9A7A-A706A8FABBD5}"/>
    <cellStyle name="Currency 5 2 2 3 4" xfId="2830" xr:uid="{E77534F7-C045-46EB-B874-B3B5A9D71F44}"/>
    <cellStyle name="Currency 5 2 2 3 4 2" xfId="5059" xr:uid="{D06CF2FE-DDB8-4227-AD45-9A8383476805}"/>
    <cellStyle name="Currency 5 2 2 3 4 2 2" xfId="9277" xr:uid="{F61B19DF-CFA7-4569-9B38-DB705E23628F}"/>
    <cellStyle name="Currency 5 2 2 3 4 3" xfId="7132" xr:uid="{F0F262B8-B010-45D9-8E2D-C0CFF409E30E}"/>
    <cellStyle name="Currency 5 2 2 3 5" xfId="3243" xr:uid="{6CCBDA87-2AE4-44DB-A917-24966B7A9EBE}"/>
    <cellStyle name="Currency 5 2 2 3 5 2" xfId="5472" xr:uid="{EBB1B0DC-2957-4622-8BE2-98D30BBC3235}"/>
    <cellStyle name="Currency 5 2 2 3 5 2 2" xfId="9690" xr:uid="{778DA4F3-C1EF-42BA-BE34-7F61B0BB3E6A}"/>
    <cellStyle name="Currency 5 2 2 3 5 3" xfId="7545" xr:uid="{8D363D5E-8093-40D3-AF45-0EAD9E58C7C8}"/>
    <cellStyle name="Currency 5 2 2 3 6" xfId="3656" xr:uid="{EC3010A2-C1C3-47D6-9D33-329894928B31}"/>
    <cellStyle name="Currency 5 2 2 3 6 2" xfId="5885" xr:uid="{16286964-073B-485C-80E8-C630B49AC0F3}"/>
    <cellStyle name="Currency 5 2 2 3 6 2 2" xfId="10103" xr:uid="{8B66C9E1-9CFC-46A8-B863-F144329249A9}"/>
    <cellStyle name="Currency 5 2 2 3 6 3" xfId="7958" xr:uid="{9E383C43-563C-4E57-BC47-5B8F9FAD8BB1}"/>
    <cellStyle name="Currency 5 2 2 3 7" xfId="4091" xr:uid="{AE9A9415-91EE-4BFA-AA62-5D3151D185E2}"/>
    <cellStyle name="Currency 5 2 2 3 7 2" xfId="8371" xr:uid="{C03A5324-EB34-4D8D-9289-4627D70D1AF5}"/>
    <cellStyle name="Currency 5 2 2 3 8" xfId="4388" xr:uid="{224740CE-4F8C-4B7A-8E59-97F1DE7F68C9}"/>
    <cellStyle name="Currency 5 2 2 3 9" xfId="4469" xr:uid="{935E296F-6CE7-4CE7-9633-AD51932FADAD}"/>
    <cellStyle name="Currency 5 2 2 3 9 2" xfId="8688" xr:uid="{B8FDE591-9436-4148-A75A-BC95B7C52C34}"/>
    <cellStyle name="Currency 5 2 2 4" xfId="203" xr:uid="{00000000-0005-0000-0000-000067010000}"/>
    <cellStyle name="Currency 5 2 2 4 10" xfId="2003" xr:uid="{6AA7674C-631D-4CB0-B516-90B034AFEBA7}"/>
    <cellStyle name="Currency 5 2 2 4 11" xfId="1174" xr:uid="{783D2A5D-CC60-4A6B-B871-2717DA2D19B1}"/>
    <cellStyle name="Currency 5 2 2 4 12" xfId="10540" xr:uid="{7658552E-9559-48F3-B6E7-701AF3240F0E}"/>
    <cellStyle name="Currency 5 2 2 4 2" xfId="736" xr:uid="{00000000-0005-0000-0000-000068010000}"/>
    <cellStyle name="Currency 5 2 2 4 2 2" xfId="4648" xr:uid="{79B8780D-2974-4A2B-B9A3-7E8F8DA83512}"/>
    <cellStyle name="Currency 5 2 2 4 2 2 2" xfId="8866" xr:uid="{90E99E1B-7D6E-429C-9394-20627998E207}"/>
    <cellStyle name="Currency 5 2 2 4 2 3" xfId="6721" xr:uid="{28CBB3C9-3B63-4AB1-900F-5FCD5932B4D7}"/>
    <cellStyle name="Currency 5 2 2 4 2 4" xfId="2418" xr:uid="{F53FD1D6-F104-4FD1-957C-35C2C488E48A}"/>
    <cellStyle name="Currency 5 2 2 4 2 5" xfId="1590" xr:uid="{9DFA26C0-D9A5-474F-982B-BD184C8848AA}"/>
    <cellStyle name="Currency 5 2 2 4 2 6" xfId="10956" xr:uid="{52742585-F262-4E8A-A55E-95D80AA164BA}"/>
    <cellStyle name="Currency 5 2 2 4 3" xfId="2832" xr:uid="{58EE8D29-80FB-4DDC-AC71-38DB1AEE4A2B}"/>
    <cellStyle name="Currency 5 2 2 4 3 2" xfId="5061" xr:uid="{AE299642-EEB9-433B-9DEF-42F35670F08F}"/>
    <cellStyle name="Currency 5 2 2 4 3 2 2" xfId="9279" xr:uid="{049507F9-4D6C-42D9-B42C-01059696D408}"/>
    <cellStyle name="Currency 5 2 2 4 3 3" xfId="7134" xr:uid="{DCCE0983-9661-4914-AF6F-0184491F72E9}"/>
    <cellStyle name="Currency 5 2 2 4 4" xfId="3245" xr:uid="{C22870B1-61E8-44F4-9EAD-6C139CD8C467}"/>
    <cellStyle name="Currency 5 2 2 4 4 2" xfId="5474" xr:uid="{14A4CB4A-4F44-4582-A043-B5D3E1B852EA}"/>
    <cellStyle name="Currency 5 2 2 4 4 2 2" xfId="9692" xr:uid="{B6459723-8EEA-413F-A60E-30783BB381C7}"/>
    <cellStyle name="Currency 5 2 2 4 4 3" xfId="7547" xr:uid="{EF866F59-065F-4DB4-BC39-7C47DB0C5BE6}"/>
    <cellStyle name="Currency 5 2 2 4 5" xfId="3658" xr:uid="{960B4B50-42FF-430E-8BCA-18160207CDE0}"/>
    <cellStyle name="Currency 5 2 2 4 5 2" xfId="5887" xr:uid="{110DD008-071B-40B2-9096-B691AD7DD285}"/>
    <cellStyle name="Currency 5 2 2 4 5 2 2" xfId="10105" xr:uid="{04707985-17D9-4D56-AA95-B8C278EE61EA}"/>
    <cellStyle name="Currency 5 2 2 4 5 3" xfId="7960" xr:uid="{87D72E3E-2E28-4E73-AA71-860719CDFECF}"/>
    <cellStyle name="Currency 5 2 2 4 6" xfId="4093" xr:uid="{160FEADA-A979-4806-B080-467CAAB49CBC}"/>
    <cellStyle name="Currency 5 2 2 4 6 2" xfId="8373" xr:uid="{6B4D41AC-0F9D-4D0E-AE94-C6A739F61966}"/>
    <cellStyle name="Currency 5 2 2 4 7" xfId="4390" xr:uid="{7830693F-D406-4558-AE18-5106C53CB32B}"/>
    <cellStyle name="Currency 5 2 2 4 8" xfId="4471" xr:uid="{9C17CB29-F4C9-41B5-A5F5-C6F86DA79D4C}"/>
    <cellStyle name="Currency 5 2 2 4 8 2" xfId="8690" xr:uid="{15546B44-AEDC-4B13-BC69-6CE7D84E178F}"/>
    <cellStyle name="Currency 5 2 2 4 9" xfId="6307" xr:uid="{113BF3A8-10AA-4F99-B32F-23FFFF45171A}"/>
    <cellStyle name="Currency 5 2 2 5" xfId="204" xr:uid="{00000000-0005-0000-0000-000069010000}"/>
    <cellStyle name="Currency 5 2 2 5 10" xfId="2004" xr:uid="{6E8F04AE-5EA8-4D4F-8D9C-F97AC17BF908}"/>
    <cellStyle name="Currency 5 2 2 5 11" xfId="1175" xr:uid="{9AB420C2-2177-4B85-81B7-902DB8E92F00}"/>
    <cellStyle name="Currency 5 2 2 5 12" xfId="10541" xr:uid="{E0BD5219-B5BB-4887-BA73-7C2766EA2B9C}"/>
    <cellStyle name="Currency 5 2 2 5 2" xfId="737" xr:uid="{00000000-0005-0000-0000-00006A010000}"/>
    <cellStyle name="Currency 5 2 2 5 2 2" xfId="4649" xr:uid="{B8191E6C-37C4-4532-A9A1-B751BBC7B15B}"/>
    <cellStyle name="Currency 5 2 2 5 2 2 2" xfId="8867" xr:uid="{18120520-0759-4DA7-83D3-89CFAB34A2B2}"/>
    <cellStyle name="Currency 5 2 2 5 2 3" xfId="6722" xr:uid="{4BA21F47-27A0-45F8-B712-900BE4113410}"/>
    <cellStyle name="Currency 5 2 2 5 2 4" xfId="2419" xr:uid="{8C222B50-82E5-4EBD-9E00-34E2456C79D5}"/>
    <cellStyle name="Currency 5 2 2 5 2 5" xfId="1591" xr:uid="{53859CA9-E7A9-46D8-AA5E-ED1FB2E221E6}"/>
    <cellStyle name="Currency 5 2 2 5 2 6" xfId="10957" xr:uid="{DF4E8D8C-E52D-4C24-A600-6BC3507A843B}"/>
    <cellStyle name="Currency 5 2 2 5 3" xfId="2833" xr:uid="{02C1DE2A-9639-4CC3-98A8-E41A8840F89F}"/>
    <cellStyle name="Currency 5 2 2 5 3 2" xfId="5062" xr:uid="{C1574988-A257-4490-8200-461D024C1184}"/>
    <cellStyle name="Currency 5 2 2 5 3 2 2" xfId="9280" xr:uid="{1D90E63F-CA15-435B-8A74-C67F9B9C255A}"/>
    <cellStyle name="Currency 5 2 2 5 3 3" xfId="7135" xr:uid="{24C45B4F-A44C-4E52-9969-CFE1C00DA0FA}"/>
    <cellStyle name="Currency 5 2 2 5 4" xfId="3246" xr:uid="{1EB7F872-5A99-4C2E-BBAA-B8BAC3AC9CC1}"/>
    <cellStyle name="Currency 5 2 2 5 4 2" xfId="5475" xr:uid="{A114A7E6-8156-4704-AB84-1AB2BA63BBA0}"/>
    <cellStyle name="Currency 5 2 2 5 4 2 2" xfId="9693" xr:uid="{74176094-0D0C-4397-B688-8CA718AA48B0}"/>
    <cellStyle name="Currency 5 2 2 5 4 3" xfId="7548" xr:uid="{38E8AD3F-9A17-490A-AB97-6C9D841771BE}"/>
    <cellStyle name="Currency 5 2 2 5 5" xfId="3659" xr:uid="{28F807E4-3BB0-4A65-B485-C142EC3FD699}"/>
    <cellStyle name="Currency 5 2 2 5 5 2" xfId="5888" xr:uid="{73D7D5BC-9B87-4E0A-8C5C-EABA2FF0ED2D}"/>
    <cellStyle name="Currency 5 2 2 5 5 2 2" xfId="10106" xr:uid="{32E23955-0201-40C3-A490-0ED8ADF207EA}"/>
    <cellStyle name="Currency 5 2 2 5 5 3" xfId="7961" xr:uid="{53630846-0E3D-4B4B-A4AB-1F4B302C46A6}"/>
    <cellStyle name="Currency 5 2 2 5 6" xfId="4094" xr:uid="{DB226ACF-3455-4F9F-9EE4-39017AF82297}"/>
    <cellStyle name="Currency 5 2 2 5 6 2" xfId="8374" xr:uid="{96DC12AA-B5DC-4E14-9B1E-E71A408B20A7}"/>
    <cellStyle name="Currency 5 2 2 5 7" xfId="4391" xr:uid="{9D85B1F8-AFC5-40A4-91B1-0DD1ABE7208E}"/>
    <cellStyle name="Currency 5 2 2 5 8" xfId="4472" xr:uid="{D084C686-DD1A-4853-AFE3-B88DFA354CEA}"/>
    <cellStyle name="Currency 5 2 2 5 8 2" xfId="8691" xr:uid="{BBB7EC2C-DE6C-4A50-9FED-36476D8FEE24}"/>
    <cellStyle name="Currency 5 2 2 5 9" xfId="6308" xr:uid="{1750E555-9560-463A-913E-249E11EEE0F2}"/>
    <cellStyle name="Currency 5 2 3" xfId="205" xr:uid="{00000000-0005-0000-0000-00006B010000}"/>
    <cellStyle name="Currency 5 2 3 2" xfId="738" xr:uid="{00000000-0005-0000-0000-00006C010000}"/>
    <cellStyle name="Currency 5 2 4" xfId="206" xr:uid="{00000000-0005-0000-0000-00006D010000}"/>
    <cellStyle name="Currency 5 2 4 10" xfId="6309" xr:uid="{DD3DE19D-5BC3-43D6-B34B-BD11A7ED54ED}"/>
    <cellStyle name="Currency 5 2 4 11" xfId="2005" xr:uid="{8B7F90D9-78FB-4AFE-A645-AFF44DEB2874}"/>
    <cellStyle name="Currency 5 2 4 12" xfId="1176" xr:uid="{A20F3E26-52FB-4DF8-B0FE-5A6DDC91F0F3}"/>
    <cellStyle name="Currency 5 2 4 13" xfId="10542" xr:uid="{398C90BB-6129-48FF-8337-37D492AA345C}"/>
    <cellStyle name="Currency 5 2 4 2" xfId="207" xr:uid="{00000000-0005-0000-0000-00006E010000}"/>
    <cellStyle name="Currency 5 2 4 2 10" xfId="2006" xr:uid="{8BD42692-9F0B-4DB1-97C1-E1AADAFA2F01}"/>
    <cellStyle name="Currency 5 2 4 2 11" xfId="1177" xr:uid="{F657A8BA-0BBD-4291-8E44-8F469E8DFF7A}"/>
    <cellStyle name="Currency 5 2 4 2 12" xfId="10543" xr:uid="{0946DFFD-ABC2-4281-B164-32063C9CDD1F}"/>
    <cellStyle name="Currency 5 2 4 2 2" xfId="740" xr:uid="{00000000-0005-0000-0000-00006F010000}"/>
    <cellStyle name="Currency 5 2 4 2 2 2" xfId="4651" xr:uid="{EA28E495-8B11-4699-B205-2A60313FD9FB}"/>
    <cellStyle name="Currency 5 2 4 2 2 2 2" xfId="8869" xr:uid="{D4DBB96D-5769-410F-A27F-645B50A3757A}"/>
    <cellStyle name="Currency 5 2 4 2 2 3" xfId="6724" xr:uid="{BADA0459-6941-4E90-97B3-3AC0AC6FA088}"/>
    <cellStyle name="Currency 5 2 4 2 2 4" xfId="2421" xr:uid="{4806BD02-206F-444F-9020-FF7E1105C421}"/>
    <cellStyle name="Currency 5 2 4 2 2 5" xfId="1593" xr:uid="{C9746CE5-090E-47BD-B776-EED207CEF148}"/>
    <cellStyle name="Currency 5 2 4 2 2 6" xfId="10959" xr:uid="{84F85A2A-99AD-4027-B0E6-5E7613578B3E}"/>
    <cellStyle name="Currency 5 2 4 2 3" xfId="2835" xr:uid="{D575E52D-4388-4913-8FD1-9166478E6833}"/>
    <cellStyle name="Currency 5 2 4 2 3 2" xfId="5064" xr:uid="{A75AF649-640F-4CB9-9D5B-ABD73008C550}"/>
    <cellStyle name="Currency 5 2 4 2 3 2 2" xfId="9282" xr:uid="{8F8FBCBD-041B-419D-9732-5E4C8CA36597}"/>
    <cellStyle name="Currency 5 2 4 2 3 3" xfId="7137" xr:uid="{1D64686C-9C84-4077-BE70-DA36B5E03E28}"/>
    <cellStyle name="Currency 5 2 4 2 4" xfId="3248" xr:uid="{71F40F45-C8A5-4D24-8734-258052E36449}"/>
    <cellStyle name="Currency 5 2 4 2 4 2" xfId="5477" xr:uid="{33E88B33-3DD2-40B4-B97D-B4CD7F01781F}"/>
    <cellStyle name="Currency 5 2 4 2 4 2 2" xfId="9695" xr:uid="{1DE8312A-FA5D-4118-AEBB-A9C920FA1D3E}"/>
    <cellStyle name="Currency 5 2 4 2 4 3" xfId="7550" xr:uid="{653DF1DD-E7F1-4F6C-81DC-59CD75DA6059}"/>
    <cellStyle name="Currency 5 2 4 2 5" xfId="3661" xr:uid="{6B47FFAA-3D57-499C-B047-870DEB9BF5FC}"/>
    <cellStyle name="Currency 5 2 4 2 5 2" xfId="5890" xr:uid="{13CAFE3F-9236-43EB-8B4E-F3459B5BD42C}"/>
    <cellStyle name="Currency 5 2 4 2 5 2 2" xfId="10108" xr:uid="{03D6636B-EA7A-4DDD-820C-8F76AF47910C}"/>
    <cellStyle name="Currency 5 2 4 2 5 3" xfId="7963" xr:uid="{3BFD0227-E830-4358-AD6F-4255B91FCB15}"/>
    <cellStyle name="Currency 5 2 4 2 6" xfId="4096" xr:uid="{F07942B9-C4E1-4F80-8ED1-D67FD3004455}"/>
    <cellStyle name="Currency 5 2 4 2 6 2" xfId="8376" xr:uid="{CD79491A-DD9A-4AA6-AA56-DCC50D00E41E}"/>
    <cellStyle name="Currency 5 2 4 2 7" xfId="4393" xr:uid="{3D44D211-81EC-4804-B98A-10687D592402}"/>
    <cellStyle name="Currency 5 2 4 2 8" xfId="4474" xr:uid="{206182E9-F195-4B2C-BE35-B247560707D6}"/>
    <cellStyle name="Currency 5 2 4 2 8 2" xfId="8693" xr:uid="{1222C371-6EA4-49E3-B145-B3A66459594F}"/>
    <cellStyle name="Currency 5 2 4 2 9" xfId="6310" xr:uid="{8E068275-9D2E-427B-86CF-002B81E239C6}"/>
    <cellStyle name="Currency 5 2 4 3" xfId="739" xr:uid="{00000000-0005-0000-0000-000070010000}"/>
    <cellStyle name="Currency 5 2 4 3 2" xfId="4650" xr:uid="{283FFD6C-888B-4FC2-8C40-B9A7EECDD1E5}"/>
    <cellStyle name="Currency 5 2 4 3 2 2" xfId="8868" xr:uid="{793F1A54-4E90-44D1-84BB-C94217EC8B43}"/>
    <cellStyle name="Currency 5 2 4 3 3" xfId="6723" xr:uid="{29895A2E-60AC-40EA-A8CA-7A680A7F766D}"/>
    <cellStyle name="Currency 5 2 4 3 4" xfId="2420" xr:uid="{17E7CEE5-732C-4289-9FD3-BB8516D28CA7}"/>
    <cellStyle name="Currency 5 2 4 3 5" xfId="1592" xr:uid="{E78AA53B-543A-4A15-8A05-6436627B5FB0}"/>
    <cellStyle name="Currency 5 2 4 3 6" xfId="10958" xr:uid="{6735D218-A594-4932-9A0E-01E2361468E7}"/>
    <cellStyle name="Currency 5 2 4 4" xfId="2834" xr:uid="{AC9194FB-223A-4C82-A7A6-21DCEE45238B}"/>
    <cellStyle name="Currency 5 2 4 4 2" xfId="5063" xr:uid="{A18533FE-B8B6-494F-8117-32A1818E0D55}"/>
    <cellStyle name="Currency 5 2 4 4 2 2" xfId="9281" xr:uid="{0700481B-600D-4C57-ABD4-DF7D64C188E8}"/>
    <cellStyle name="Currency 5 2 4 4 3" xfId="7136" xr:uid="{67AA73FB-791B-4AF8-8971-3559EB90CD1E}"/>
    <cellStyle name="Currency 5 2 4 5" xfId="3247" xr:uid="{A37B3152-CB04-4E9A-8367-3EA5E4030650}"/>
    <cellStyle name="Currency 5 2 4 5 2" xfId="5476" xr:uid="{33FCDBB1-DC5A-4AED-BD5C-D5B0E9091C38}"/>
    <cellStyle name="Currency 5 2 4 5 2 2" xfId="9694" xr:uid="{33D96A5A-47FC-4E52-AFDA-7DBFD1623194}"/>
    <cellStyle name="Currency 5 2 4 5 3" xfId="7549" xr:uid="{47E3445D-BCB0-444D-A512-7A6E594DC70A}"/>
    <cellStyle name="Currency 5 2 4 6" xfId="3660" xr:uid="{D9DC8BFE-C9EE-4009-A34B-A66C7662A89B}"/>
    <cellStyle name="Currency 5 2 4 6 2" xfId="5889" xr:uid="{2E258C58-BE14-4BCD-9DE1-8BFFECE2D049}"/>
    <cellStyle name="Currency 5 2 4 6 2 2" xfId="10107" xr:uid="{72DCB8F3-FC45-46E7-BC8F-9CD180F7416D}"/>
    <cellStyle name="Currency 5 2 4 6 3" xfId="7962" xr:uid="{F2203F63-C21D-424C-BF69-AA762BF5477A}"/>
    <cellStyle name="Currency 5 2 4 7" xfId="4095" xr:uid="{DC8691F9-6E64-41AC-857E-F79008D6D79A}"/>
    <cellStyle name="Currency 5 2 4 7 2" xfId="8375" xr:uid="{28C9B8F4-CFA7-48B8-AAAD-B94DA8C4615D}"/>
    <cellStyle name="Currency 5 2 4 8" xfId="4392" xr:uid="{17E0CCB8-A6D3-4DC0-9B1E-D30BB9EAE9A7}"/>
    <cellStyle name="Currency 5 2 4 9" xfId="4473" xr:uid="{05B6BB5C-BE0D-469F-9C7E-D03BB828BDFA}"/>
    <cellStyle name="Currency 5 2 4 9 2" xfId="8692" xr:uid="{765232C3-FC67-4124-BE87-99ED9AF09E8C}"/>
    <cellStyle name="Currency 5 2 5" xfId="208" xr:uid="{00000000-0005-0000-0000-000071010000}"/>
    <cellStyle name="Currency 5 2 5 10" xfId="2007" xr:uid="{364D51D6-513E-4206-90C5-CDA462A76683}"/>
    <cellStyle name="Currency 5 2 5 11" xfId="1178" xr:uid="{75EBF14F-6590-4300-8C95-432C33B37AE4}"/>
    <cellStyle name="Currency 5 2 5 12" xfId="10544" xr:uid="{26FBBEB0-A510-41EB-8B43-A080C351F413}"/>
    <cellStyle name="Currency 5 2 5 2" xfId="741" xr:uid="{00000000-0005-0000-0000-000072010000}"/>
    <cellStyle name="Currency 5 2 5 2 2" xfId="4652" xr:uid="{AC6989D4-B43E-4C74-9E4F-14F345AB3460}"/>
    <cellStyle name="Currency 5 2 5 2 2 2" xfId="8870" xr:uid="{F6343008-8E8B-4BBF-BF8C-73BA71E62DE2}"/>
    <cellStyle name="Currency 5 2 5 2 3" xfId="6725" xr:uid="{0E823B9A-8AC0-4156-A911-58B16A3AF420}"/>
    <cellStyle name="Currency 5 2 5 2 4" xfId="2422" xr:uid="{889B9322-AB91-4AF5-BDA3-D69489E18031}"/>
    <cellStyle name="Currency 5 2 5 2 5" xfId="1594" xr:uid="{A6E1F018-1507-465C-AA6B-44E66C35E1CE}"/>
    <cellStyle name="Currency 5 2 5 2 6" xfId="10960" xr:uid="{68DA432A-9EE9-4323-A157-50E31B3D1C3D}"/>
    <cellStyle name="Currency 5 2 5 3" xfId="2836" xr:uid="{611B1B41-4020-4354-B814-E672E5643F7E}"/>
    <cellStyle name="Currency 5 2 5 3 2" xfId="5065" xr:uid="{EC8E2C6E-9027-4E11-B74E-3333075C9A78}"/>
    <cellStyle name="Currency 5 2 5 3 2 2" xfId="9283" xr:uid="{35E3C181-CA21-495A-80D0-F2EC8C2D1AA3}"/>
    <cellStyle name="Currency 5 2 5 3 3" xfId="7138" xr:uid="{953C3CA3-DEB2-4AD1-A351-8C9EE968BCC9}"/>
    <cellStyle name="Currency 5 2 5 4" xfId="3249" xr:uid="{75EB862A-B608-49B7-95FA-395DB0D7B758}"/>
    <cellStyle name="Currency 5 2 5 4 2" xfId="5478" xr:uid="{18417928-2115-4BFC-889B-A4B74718B84D}"/>
    <cellStyle name="Currency 5 2 5 4 2 2" xfId="9696" xr:uid="{D3537344-CB41-4F5C-B7F9-1F3313DFCF4F}"/>
    <cellStyle name="Currency 5 2 5 4 3" xfId="7551" xr:uid="{2259ED27-C5D4-46B7-B46C-0AA61142337B}"/>
    <cellStyle name="Currency 5 2 5 5" xfId="3662" xr:uid="{80E7050D-B3F4-4910-8A5B-8BF852BF20B3}"/>
    <cellStyle name="Currency 5 2 5 5 2" xfId="5891" xr:uid="{2A6A516A-87C5-48DD-B621-23F3FDBA35ED}"/>
    <cellStyle name="Currency 5 2 5 5 2 2" xfId="10109" xr:uid="{9F4FA066-67DF-461B-9CFA-D6C2C7556434}"/>
    <cellStyle name="Currency 5 2 5 5 3" xfId="7964" xr:uid="{4A0B7EE5-6C08-47D3-9FE4-0E8C5FB74050}"/>
    <cellStyle name="Currency 5 2 5 6" xfId="4097" xr:uid="{881A6110-593A-4E56-8960-A40A095ED894}"/>
    <cellStyle name="Currency 5 2 5 6 2" xfId="8377" xr:uid="{BD88FFC5-D72B-43E3-A546-8BE7AF4E4CB5}"/>
    <cellStyle name="Currency 5 2 5 7" xfId="4394" xr:uid="{7C82CA3B-BDA3-435C-A1FC-25C998BC88E7}"/>
    <cellStyle name="Currency 5 2 5 8" xfId="4475" xr:uid="{E97EE032-394E-4BD7-A9A3-6992C9D8C780}"/>
    <cellStyle name="Currency 5 2 5 8 2" xfId="8694" xr:uid="{F8DCBC2C-3891-487F-9DC3-723B085E6557}"/>
    <cellStyle name="Currency 5 2 5 9" xfId="6311" xr:uid="{AE1521BE-7518-4AC1-A60B-EC0F22E17FF0}"/>
    <cellStyle name="Currency 5 2 6" xfId="209" xr:uid="{00000000-0005-0000-0000-000073010000}"/>
    <cellStyle name="Currency 5 2 6 10" xfId="2008" xr:uid="{7173BA91-CAB3-4C96-B63D-0207C53287DB}"/>
    <cellStyle name="Currency 5 2 6 11" xfId="1179" xr:uid="{ADDD1151-57CF-4C81-B16F-FB8140BA28E4}"/>
    <cellStyle name="Currency 5 2 6 12" xfId="10545" xr:uid="{5F2D11F1-112E-4709-97CD-8F03A2E7E59E}"/>
    <cellStyle name="Currency 5 2 6 2" xfId="742" xr:uid="{00000000-0005-0000-0000-000074010000}"/>
    <cellStyle name="Currency 5 2 6 2 2" xfId="4653" xr:uid="{6108C15D-C467-4F95-BB55-DCEF5C693026}"/>
    <cellStyle name="Currency 5 2 6 2 2 2" xfId="8871" xr:uid="{B84CB5E2-F240-460B-9813-EFEF0DFF4E53}"/>
    <cellStyle name="Currency 5 2 6 2 3" xfId="6726" xr:uid="{4BAB0DAB-D7D0-4030-9995-90EBCBB7A7AA}"/>
    <cellStyle name="Currency 5 2 6 2 4" xfId="2423" xr:uid="{C768EB88-AB95-4021-BEC6-308067EC9BD6}"/>
    <cellStyle name="Currency 5 2 6 2 5" xfId="1595" xr:uid="{CE44ECFC-4D35-40BF-8565-5D33721CA513}"/>
    <cellStyle name="Currency 5 2 6 2 6" xfId="10961" xr:uid="{94BBA8D3-28B7-42CA-867C-64F743086157}"/>
    <cellStyle name="Currency 5 2 6 3" xfId="2837" xr:uid="{2AD519F6-C4AE-42A2-90A0-709CE6228D7E}"/>
    <cellStyle name="Currency 5 2 6 3 2" xfId="5066" xr:uid="{DDEBEC64-7F46-4E89-B1D0-31F2754B9063}"/>
    <cellStyle name="Currency 5 2 6 3 2 2" xfId="9284" xr:uid="{2CD04D0E-F57B-4A61-8B64-EC807C1D6C67}"/>
    <cellStyle name="Currency 5 2 6 3 3" xfId="7139" xr:uid="{FF40CE3E-AE16-4964-82EA-BDA743D575B8}"/>
    <cellStyle name="Currency 5 2 6 4" xfId="3250" xr:uid="{B8EF18E0-2053-41CE-9754-CB3600640B78}"/>
    <cellStyle name="Currency 5 2 6 4 2" xfId="5479" xr:uid="{A754235F-9349-4F7E-8FF4-6838C9960C1D}"/>
    <cellStyle name="Currency 5 2 6 4 2 2" xfId="9697" xr:uid="{0ED39E60-29F3-4D72-BD69-F5C6D40B894F}"/>
    <cellStyle name="Currency 5 2 6 4 3" xfId="7552" xr:uid="{36741F13-DD4F-4914-8FAB-EAAB1A5BD6CE}"/>
    <cellStyle name="Currency 5 2 6 5" xfId="3663" xr:uid="{C5CE4E8B-6931-49B1-BFB9-3BD022B54B60}"/>
    <cellStyle name="Currency 5 2 6 5 2" xfId="5892" xr:uid="{E9381EDE-D595-425B-98AE-D432A430CFA0}"/>
    <cellStyle name="Currency 5 2 6 5 2 2" xfId="10110" xr:uid="{8384B836-BEF2-4367-A23D-37A7B38112DD}"/>
    <cellStyle name="Currency 5 2 6 5 3" xfId="7965" xr:uid="{DC5D4A7B-2B2B-4349-AE1E-83F4D5E91EBA}"/>
    <cellStyle name="Currency 5 2 6 6" xfId="4098" xr:uid="{F60EF55C-C9D1-4392-A14E-280A353230D4}"/>
    <cellStyle name="Currency 5 2 6 6 2" xfId="8378" xr:uid="{990074AA-3E69-4FC2-BDEA-67962E272306}"/>
    <cellStyle name="Currency 5 2 6 7" xfId="4395" xr:uid="{DDB3E4F9-8FBA-40FC-8FB6-CDDAFBB004D9}"/>
    <cellStyle name="Currency 5 2 6 8" xfId="4476" xr:uid="{BD379BA6-03BC-4168-BBEB-E315F835DC92}"/>
    <cellStyle name="Currency 5 2 6 8 2" xfId="8695" xr:uid="{593D6D5D-A024-40EA-B49F-C44F04D54A5F}"/>
    <cellStyle name="Currency 5 2 6 9" xfId="6312" xr:uid="{9FB9EF6F-D963-4F9C-9CFF-151918060B71}"/>
    <cellStyle name="Currency 5 2 7" xfId="729" xr:uid="{00000000-0005-0000-0000-000075010000}"/>
    <cellStyle name="Currency 5 3" xfId="210" xr:uid="{00000000-0005-0000-0000-000076010000}"/>
    <cellStyle name="Currency 5 3 2" xfId="211" xr:uid="{00000000-0005-0000-0000-000077010000}"/>
    <cellStyle name="Currency 5 3 2 10" xfId="4477" xr:uid="{75B98517-E734-4C1C-8446-53E9377941DD}"/>
    <cellStyle name="Currency 5 3 2 10 2" xfId="8696" xr:uid="{0EEDEA4F-F2F2-415A-BE4E-5490B3A2A1C4}"/>
    <cellStyle name="Currency 5 3 2 11" xfId="6313" xr:uid="{66208207-F3D9-403D-B774-6FA1B22B247C}"/>
    <cellStyle name="Currency 5 3 2 12" xfId="2009" xr:uid="{5360150F-9091-4650-8357-7C2D9CFD770D}"/>
    <cellStyle name="Currency 5 3 2 13" xfId="1180" xr:uid="{B445B7C3-FF95-40AE-9259-2B63BF938485}"/>
    <cellStyle name="Currency 5 3 2 14" xfId="10546" xr:uid="{E8F31499-99AC-42CB-93F2-29EA17771C75}"/>
    <cellStyle name="Currency 5 3 2 2" xfId="212" xr:uid="{00000000-0005-0000-0000-000078010000}"/>
    <cellStyle name="Currency 5 3 2 2 10" xfId="6314" xr:uid="{0365EBC2-7913-4C77-9B5C-2BDD445823FA}"/>
    <cellStyle name="Currency 5 3 2 2 11" xfId="2010" xr:uid="{3F996664-1713-4352-935D-18DC54B7D853}"/>
    <cellStyle name="Currency 5 3 2 2 12" xfId="1181" xr:uid="{D8A13429-0B2C-4310-B591-56191A963DB5}"/>
    <cellStyle name="Currency 5 3 2 2 13" xfId="10547" xr:uid="{D885E05B-A9DB-439F-8DF6-C64EC2D155C0}"/>
    <cellStyle name="Currency 5 3 2 2 2" xfId="213" xr:uid="{00000000-0005-0000-0000-000079010000}"/>
    <cellStyle name="Currency 5 3 2 2 2 10" xfId="2011" xr:uid="{2F62D403-8B96-464F-8353-E3A403119C1E}"/>
    <cellStyle name="Currency 5 3 2 2 2 11" xfId="1182" xr:uid="{0A5CEC79-4E69-4233-A2E7-97D6F7201536}"/>
    <cellStyle name="Currency 5 3 2 2 2 12" xfId="10548" xr:uid="{52E388E0-26F2-4A90-BA34-FDE17D5C5245}"/>
    <cellStyle name="Currency 5 3 2 2 2 2" xfId="745" xr:uid="{00000000-0005-0000-0000-00007A010000}"/>
    <cellStyle name="Currency 5 3 2 2 2 2 2" xfId="4656" xr:uid="{4FA7D666-FC88-4196-82C3-F9C3CBC9B0BC}"/>
    <cellStyle name="Currency 5 3 2 2 2 2 2 2" xfId="8874" xr:uid="{9A561D4E-FC75-4B22-BA2A-415C58434351}"/>
    <cellStyle name="Currency 5 3 2 2 2 2 3" xfId="6729" xr:uid="{3A06F657-13DE-41FC-9806-B116E720F525}"/>
    <cellStyle name="Currency 5 3 2 2 2 2 4" xfId="2426" xr:uid="{E3DBE298-BCCE-4E4C-A690-A4E912417A9D}"/>
    <cellStyle name="Currency 5 3 2 2 2 2 5" xfId="1598" xr:uid="{CE539000-1AB8-4244-99A7-1B6A66ED19BD}"/>
    <cellStyle name="Currency 5 3 2 2 2 2 6" xfId="10964" xr:uid="{A775A67E-492D-4458-8EA0-ED2513A52BCC}"/>
    <cellStyle name="Currency 5 3 2 2 2 3" xfId="2840" xr:uid="{0CCCFFF8-C84E-493D-9F8D-70468A4641A8}"/>
    <cellStyle name="Currency 5 3 2 2 2 3 2" xfId="5069" xr:uid="{E24E6B24-EF3E-41C3-B400-7BED69373204}"/>
    <cellStyle name="Currency 5 3 2 2 2 3 2 2" xfId="9287" xr:uid="{A9C3CCC9-A6BF-442E-B4AF-97D2D22AEAB0}"/>
    <cellStyle name="Currency 5 3 2 2 2 3 3" xfId="7142" xr:uid="{5FBF66B0-4501-43A0-8BFA-AE822D8A697B}"/>
    <cellStyle name="Currency 5 3 2 2 2 4" xfId="3253" xr:uid="{0C65168B-9FEA-4433-9325-3B9D44874B7E}"/>
    <cellStyle name="Currency 5 3 2 2 2 4 2" xfId="5482" xr:uid="{BF89D050-6377-4964-8192-6D66E8029131}"/>
    <cellStyle name="Currency 5 3 2 2 2 4 2 2" xfId="9700" xr:uid="{0F1DC5A9-8796-4FCC-84DB-2707505F36CE}"/>
    <cellStyle name="Currency 5 3 2 2 2 4 3" xfId="7555" xr:uid="{49C2C122-EEC0-472F-BA3B-DC7689C6CD81}"/>
    <cellStyle name="Currency 5 3 2 2 2 5" xfId="3666" xr:uid="{FC3E22E6-4558-4026-B5E9-FCA74B4A2ED6}"/>
    <cellStyle name="Currency 5 3 2 2 2 5 2" xfId="5895" xr:uid="{693DC48E-A5AA-4FE9-9C0E-B6D3A5A56421}"/>
    <cellStyle name="Currency 5 3 2 2 2 5 2 2" xfId="10113" xr:uid="{54EDBEFB-C5DD-495E-8139-137F8B6579C1}"/>
    <cellStyle name="Currency 5 3 2 2 2 5 3" xfId="7968" xr:uid="{F1B6542E-118C-48DF-8960-60AF91D55C80}"/>
    <cellStyle name="Currency 5 3 2 2 2 6" xfId="4101" xr:uid="{219373C1-6172-4D74-B479-87B1D3FDA66E}"/>
    <cellStyle name="Currency 5 3 2 2 2 6 2" xfId="8381" xr:uid="{3B6ABF44-24A1-4BC1-A9D2-CF5DB22BEA8C}"/>
    <cellStyle name="Currency 5 3 2 2 2 7" xfId="4398" xr:uid="{60957D12-22FC-43E0-A995-9BD73120B8B9}"/>
    <cellStyle name="Currency 5 3 2 2 2 8" xfId="4479" xr:uid="{E5F982B1-ADFA-419D-ABAF-3F07E9CF65E1}"/>
    <cellStyle name="Currency 5 3 2 2 2 8 2" xfId="8698" xr:uid="{A8BC7875-BF4D-4202-BDE1-061CC70C9302}"/>
    <cellStyle name="Currency 5 3 2 2 2 9" xfId="6315" xr:uid="{E1CE766C-EF3E-420B-917A-A75C00CE88D8}"/>
    <cellStyle name="Currency 5 3 2 2 3" xfId="744" xr:uid="{00000000-0005-0000-0000-00007B010000}"/>
    <cellStyle name="Currency 5 3 2 2 3 2" xfId="4655" xr:uid="{F1058EE3-0ECC-45D7-A933-807676765AE8}"/>
    <cellStyle name="Currency 5 3 2 2 3 2 2" xfId="8873" xr:uid="{E8FFAA17-48DF-41F7-B3DE-8B2EE7226372}"/>
    <cellStyle name="Currency 5 3 2 2 3 3" xfId="6728" xr:uid="{3FF923A2-C678-488C-BC4E-2326915A3681}"/>
    <cellStyle name="Currency 5 3 2 2 3 4" xfId="2425" xr:uid="{5FD7AA64-692D-4298-B8E2-B50BC88A6FF1}"/>
    <cellStyle name="Currency 5 3 2 2 3 5" xfId="1597" xr:uid="{C5835620-3C8B-4586-B70E-8CDB8DD87A81}"/>
    <cellStyle name="Currency 5 3 2 2 3 6" xfId="10963" xr:uid="{699B91DA-026E-4F19-BD84-A8DA58248D0B}"/>
    <cellStyle name="Currency 5 3 2 2 4" xfId="2839" xr:uid="{05BFAA53-CD1C-4FDB-B7BE-F537470825AF}"/>
    <cellStyle name="Currency 5 3 2 2 4 2" xfId="5068" xr:uid="{F7BA67CB-84C8-4E9E-BF3E-60F5832E613C}"/>
    <cellStyle name="Currency 5 3 2 2 4 2 2" xfId="9286" xr:uid="{A9CCDE1D-6868-4DEC-BA85-B7714967A54B}"/>
    <cellStyle name="Currency 5 3 2 2 4 3" xfId="7141" xr:uid="{878ECFA5-F80E-495F-845C-598A738277B0}"/>
    <cellStyle name="Currency 5 3 2 2 5" xfId="3252" xr:uid="{B24AE3AA-75B7-4699-A1FA-7909F3B66939}"/>
    <cellStyle name="Currency 5 3 2 2 5 2" xfId="5481" xr:uid="{2DAD5603-6778-465A-AEF0-35B851AF499D}"/>
    <cellStyle name="Currency 5 3 2 2 5 2 2" xfId="9699" xr:uid="{3F00DA7D-6FC7-4F13-95D2-246E784C1D97}"/>
    <cellStyle name="Currency 5 3 2 2 5 3" xfId="7554" xr:uid="{742664D4-0780-4D47-901A-269301005B46}"/>
    <cellStyle name="Currency 5 3 2 2 6" xfId="3665" xr:uid="{EE8C3F4D-3BF1-42DF-85C2-A5AD8FF1C699}"/>
    <cellStyle name="Currency 5 3 2 2 6 2" xfId="5894" xr:uid="{92FE96F1-2B8C-4241-BFBC-3DCB1E75BB55}"/>
    <cellStyle name="Currency 5 3 2 2 6 2 2" xfId="10112" xr:uid="{D8E6471A-7080-4114-AAED-C086A0044D4E}"/>
    <cellStyle name="Currency 5 3 2 2 6 3" xfId="7967" xr:uid="{2A17F759-E9D9-4FBF-A280-1BD3B3F21E7A}"/>
    <cellStyle name="Currency 5 3 2 2 7" xfId="4100" xr:uid="{87EAAE25-37EC-449F-96B4-04CF4C9A87E4}"/>
    <cellStyle name="Currency 5 3 2 2 7 2" xfId="8380" xr:uid="{C3F4C1A9-22B3-47C0-868E-7B78B9C148B0}"/>
    <cellStyle name="Currency 5 3 2 2 8" xfId="4397" xr:uid="{8A8D5CDC-5EAE-4071-9CB3-A05F45A1BFE1}"/>
    <cellStyle name="Currency 5 3 2 2 9" xfId="4478" xr:uid="{683AEDC4-AC7F-49CC-97FA-41B845A4CF11}"/>
    <cellStyle name="Currency 5 3 2 2 9 2" xfId="8697" xr:uid="{D7F475EF-CB81-4CE2-AE60-D956FC386510}"/>
    <cellStyle name="Currency 5 3 2 3" xfId="214" xr:uid="{00000000-0005-0000-0000-00007C010000}"/>
    <cellStyle name="Currency 5 3 2 3 10" xfId="2012" xr:uid="{05FFD155-FD1E-40D4-BE85-D0650DC31A69}"/>
    <cellStyle name="Currency 5 3 2 3 11" xfId="1183" xr:uid="{93056F63-083B-4383-BEE5-649E19F9096A}"/>
    <cellStyle name="Currency 5 3 2 3 12" xfId="10549" xr:uid="{2E3657B0-AB2A-4BDA-94D9-D0EEC7D33ED5}"/>
    <cellStyle name="Currency 5 3 2 3 2" xfId="746" xr:uid="{00000000-0005-0000-0000-00007D010000}"/>
    <cellStyle name="Currency 5 3 2 3 2 2" xfId="4657" xr:uid="{3BB93892-921B-423F-900A-A69A832EC26B}"/>
    <cellStyle name="Currency 5 3 2 3 2 2 2" xfId="8875" xr:uid="{EFD809B9-AE4D-497F-A61E-85CDA67A49CD}"/>
    <cellStyle name="Currency 5 3 2 3 2 3" xfId="6730" xr:uid="{B3462C7C-158C-449D-8ED2-9911F37E4730}"/>
    <cellStyle name="Currency 5 3 2 3 2 4" xfId="2427" xr:uid="{990540ED-CC7F-4D2C-BA66-B23F84E6511A}"/>
    <cellStyle name="Currency 5 3 2 3 2 5" xfId="1599" xr:uid="{17136B97-2E6C-4306-9EA5-1719E6CE3EAA}"/>
    <cellStyle name="Currency 5 3 2 3 2 6" xfId="10965" xr:uid="{4931385C-2657-447B-91B3-75170B322B1F}"/>
    <cellStyle name="Currency 5 3 2 3 3" xfId="2841" xr:uid="{198D420F-A6E6-48BF-A15B-280D657F58AE}"/>
    <cellStyle name="Currency 5 3 2 3 3 2" xfId="5070" xr:uid="{09591226-7D0C-4F77-A399-593E0C2995BE}"/>
    <cellStyle name="Currency 5 3 2 3 3 2 2" xfId="9288" xr:uid="{89C9019B-E65E-4B6A-BE17-4AF09EDED699}"/>
    <cellStyle name="Currency 5 3 2 3 3 3" xfId="7143" xr:uid="{CD4EA8A7-C3E0-4B0E-9D0F-6F4D9884555C}"/>
    <cellStyle name="Currency 5 3 2 3 4" xfId="3254" xr:uid="{A46BB400-1368-48DA-AB69-1087543AABB2}"/>
    <cellStyle name="Currency 5 3 2 3 4 2" xfId="5483" xr:uid="{8C3735F6-C358-4F7D-A5A5-8A175AE8C89C}"/>
    <cellStyle name="Currency 5 3 2 3 4 2 2" xfId="9701" xr:uid="{CAB7B0F3-1F35-4368-A0C2-8BB9FB81ACA9}"/>
    <cellStyle name="Currency 5 3 2 3 4 3" xfId="7556" xr:uid="{9B36A63F-DB66-4E66-8AB7-6A6C8657EDE0}"/>
    <cellStyle name="Currency 5 3 2 3 5" xfId="3667" xr:uid="{D96A29AE-9CDA-42AC-BB6B-2D1D12267247}"/>
    <cellStyle name="Currency 5 3 2 3 5 2" xfId="5896" xr:uid="{208AFF66-E8A5-4D2E-AF27-98FACEBF1ABC}"/>
    <cellStyle name="Currency 5 3 2 3 5 2 2" xfId="10114" xr:uid="{B725C962-F9BA-4614-924F-58DE6548360D}"/>
    <cellStyle name="Currency 5 3 2 3 5 3" xfId="7969" xr:uid="{D105E2F1-E641-4E63-AE92-B6887399250B}"/>
    <cellStyle name="Currency 5 3 2 3 6" xfId="4102" xr:uid="{8946A6D2-E2BE-431E-B048-EFE2C1C66655}"/>
    <cellStyle name="Currency 5 3 2 3 6 2" xfId="8382" xr:uid="{3FF0F3FA-DD4F-4A2C-9363-579315B9FB22}"/>
    <cellStyle name="Currency 5 3 2 3 7" xfId="4399" xr:uid="{DA928EF8-6AE5-4B5F-9956-61B092327002}"/>
    <cellStyle name="Currency 5 3 2 3 8" xfId="4480" xr:uid="{0387BFA7-F82F-484A-8E00-F5F1DBF3228A}"/>
    <cellStyle name="Currency 5 3 2 3 8 2" xfId="8699" xr:uid="{1B34ED74-652D-4A1B-A952-D107849B3F7A}"/>
    <cellStyle name="Currency 5 3 2 3 9" xfId="6316" xr:uid="{2539CD3D-8016-4B09-8F9B-7F4C934B34B7}"/>
    <cellStyle name="Currency 5 3 2 4" xfId="743" xr:uid="{00000000-0005-0000-0000-00007E010000}"/>
    <cellStyle name="Currency 5 3 2 4 2" xfId="4654" xr:uid="{D8877612-5EF8-48A8-BBAA-84F65077020D}"/>
    <cellStyle name="Currency 5 3 2 4 2 2" xfId="8872" xr:uid="{5C17FF0A-9B27-4A18-B8A8-A3E14A4FCDE3}"/>
    <cellStyle name="Currency 5 3 2 4 3" xfId="6727" xr:uid="{4052D05A-6AFD-4B52-A8A9-5F2996641375}"/>
    <cellStyle name="Currency 5 3 2 4 4" xfId="2424" xr:uid="{8698F5D3-FCAD-46BF-AC9D-500FD9DC5B56}"/>
    <cellStyle name="Currency 5 3 2 4 5" xfId="1596" xr:uid="{20286827-D3E2-4429-8B83-CF131DC00107}"/>
    <cellStyle name="Currency 5 3 2 4 6" xfId="10962" xr:uid="{38D7BBD6-4AB6-4B97-904C-EEB20CA8D330}"/>
    <cellStyle name="Currency 5 3 2 5" xfId="2838" xr:uid="{56928E06-A435-4177-9CBD-2E2BEF24CBD7}"/>
    <cellStyle name="Currency 5 3 2 5 2" xfId="5067" xr:uid="{36301EAA-E087-4096-A7CD-DFD0C6195B20}"/>
    <cellStyle name="Currency 5 3 2 5 2 2" xfId="9285" xr:uid="{6D771415-DBA6-4E71-88B3-54EE70E13946}"/>
    <cellStyle name="Currency 5 3 2 5 3" xfId="7140" xr:uid="{B713E9DB-8FE2-4481-B315-92711365922E}"/>
    <cellStyle name="Currency 5 3 2 6" xfId="3251" xr:uid="{DFA74BEB-5165-44D5-AAF7-C4FA7D362186}"/>
    <cellStyle name="Currency 5 3 2 6 2" xfId="5480" xr:uid="{46D3CE6D-214A-442B-A965-29D3D164B25F}"/>
    <cellStyle name="Currency 5 3 2 6 2 2" xfId="9698" xr:uid="{7CDCCC45-EBA4-4B9C-814A-97CAB767DFAD}"/>
    <cellStyle name="Currency 5 3 2 6 3" xfId="7553" xr:uid="{51691915-FE06-4810-BD6E-0257CC1AE35E}"/>
    <cellStyle name="Currency 5 3 2 7" xfId="3664" xr:uid="{AA5FA950-C78E-4D97-910E-52B6CC1E8B53}"/>
    <cellStyle name="Currency 5 3 2 7 2" xfId="5893" xr:uid="{C07D0991-D29E-4C42-BBDE-2FD7C1574CAC}"/>
    <cellStyle name="Currency 5 3 2 7 2 2" xfId="10111" xr:uid="{92C699DB-71D6-41B2-8D55-29AEF91E7CCC}"/>
    <cellStyle name="Currency 5 3 2 7 3" xfId="7966" xr:uid="{2CDDAB95-13FE-4673-B289-CB1728FCF538}"/>
    <cellStyle name="Currency 5 3 2 8" xfId="4099" xr:uid="{FCEFBF28-2FEA-4530-829E-AA52256E23FB}"/>
    <cellStyle name="Currency 5 3 2 8 2" xfId="8379" xr:uid="{C09606F3-E523-423B-B4DA-463E1261CD9D}"/>
    <cellStyle name="Currency 5 3 2 9" xfId="4396" xr:uid="{FD3D51AF-52A4-40BA-B5FC-BBC811AF27DD}"/>
    <cellStyle name="Currency 5 3 3" xfId="215" xr:uid="{00000000-0005-0000-0000-00007F010000}"/>
    <cellStyle name="Currency 5 3 3 10" xfId="6317" xr:uid="{66D3B87B-1ADF-4033-8320-318E8D9AC2EE}"/>
    <cellStyle name="Currency 5 3 3 11" xfId="2013" xr:uid="{92E1D3D5-9B3C-4AFD-B41B-A62D0306DB6F}"/>
    <cellStyle name="Currency 5 3 3 12" xfId="1184" xr:uid="{20AD4669-7B49-4C63-B787-3D44F3481628}"/>
    <cellStyle name="Currency 5 3 3 13" xfId="10550" xr:uid="{0FCB1006-09BC-404B-BD08-79354257C4BE}"/>
    <cellStyle name="Currency 5 3 3 2" xfId="216" xr:uid="{00000000-0005-0000-0000-000080010000}"/>
    <cellStyle name="Currency 5 3 3 2 10" xfId="2014" xr:uid="{2A356348-3F17-471E-9974-5E6C0DA27B17}"/>
    <cellStyle name="Currency 5 3 3 2 11" xfId="1185" xr:uid="{6CFBECE1-1EB4-4FD3-9056-D7972C1D2F99}"/>
    <cellStyle name="Currency 5 3 3 2 12" xfId="10551" xr:uid="{6D02EBBC-F7C2-467B-A8C0-5FB8C5183905}"/>
    <cellStyle name="Currency 5 3 3 2 2" xfId="748" xr:uid="{00000000-0005-0000-0000-000081010000}"/>
    <cellStyle name="Currency 5 3 3 2 2 2" xfId="4659" xr:uid="{08D0A225-ACBE-4255-9A77-0E09BC304FED}"/>
    <cellStyle name="Currency 5 3 3 2 2 2 2" xfId="8877" xr:uid="{968191C1-FEC0-412F-9543-87B34C4E72EC}"/>
    <cellStyle name="Currency 5 3 3 2 2 3" xfId="6732" xr:uid="{DA4FFB2E-0E94-41B3-96D7-46713CF86806}"/>
    <cellStyle name="Currency 5 3 3 2 2 4" xfId="2429" xr:uid="{3EA874F9-BAA6-4F4A-A8DF-D26E64A7B6DE}"/>
    <cellStyle name="Currency 5 3 3 2 2 5" xfId="1601" xr:uid="{D655E9CD-C1F6-4FE0-9F5F-85916C7397E4}"/>
    <cellStyle name="Currency 5 3 3 2 2 6" xfId="10967" xr:uid="{CD007F7E-A9CE-4305-B651-55F418FB60FA}"/>
    <cellStyle name="Currency 5 3 3 2 3" xfId="2843" xr:uid="{649461B2-3843-4584-B261-528C7C92B93B}"/>
    <cellStyle name="Currency 5 3 3 2 3 2" xfId="5072" xr:uid="{49A912AC-C60D-4851-890E-F62665D41ACE}"/>
    <cellStyle name="Currency 5 3 3 2 3 2 2" xfId="9290" xr:uid="{2EC90551-0DA8-4EA6-979B-8CC1D339AD55}"/>
    <cellStyle name="Currency 5 3 3 2 3 3" xfId="7145" xr:uid="{1EC7079C-C7EF-4125-9415-DB7701D95E9F}"/>
    <cellStyle name="Currency 5 3 3 2 4" xfId="3256" xr:uid="{BA155A3A-88C3-4193-A12E-68775B3224A2}"/>
    <cellStyle name="Currency 5 3 3 2 4 2" xfId="5485" xr:uid="{E261D487-14AD-47F4-A5AE-D529466C11DE}"/>
    <cellStyle name="Currency 5 3 3 2 4 2 2" xfId="9703" xr:uid="{6C21D4BB-5FAD-4620-9A1C-D6DDB1164650}"/>
    <cellStyle name="Currency 5 3 3 2 4 3" xfId="7558" xr:uid="{88724468-1D15-4BFB-AD88-D77C0ACAD347}"/>
    <cellStyle name="Currency 5 3 3 2 5" xfId="3669" xr:uid="{C699CAA7-561D-4E71-8890-13332A1848D9}"/>
    <cellStyle name="Currency 5 3 3 2 5 2" xfId="5898" xr:uid="{18D29E42-F0F8-4D08-A3BA-E108926D175B}"/>
    <cellStyle name="Currency 5 3 3 2 5 2 2" xfId="10116" xr:uid="{FDFBDEB8-6AA1-4912-AE54-455ED753C758}"/>
    <cellStyle name="Currency 5 3 3 2 5 3" xfId="7971" xr:uid="{F32D0139-695A-4C12-A6D4-D92669565B96}"/>
    <cellStyle name="Currency 5 3 3 2 6" xfId="4104" xr:uid="{E223CC18-6D08-4574-BE24-D9FFEEB3A1E5}"/>
    <cellStyle name="Currency 5 3 3 2 6 2" xfId="8384" xr:uid="{A93A17B1-CC7F-4F05-977C-E56A1E79AF53}"/>
    <cellStyle name="Currency 5 3 3 2 7" xfId="4401" xr:uid="{17314942-2B91-4B73-A6D1-6F631AFE03A0}"/>
    <cellStyle name="Currency 5 3 3 2 8" xfId="4482" xr:uid="{1A0BD7B6-E4B0-495D-9222-501AD5BA93CE}"/>
    <cellStyle name="Currency 5 3 3 2 8 2" xfId="8701" xr:uid="{645C6DF0-8298-48A2-8B40-7D0C59CF0717}"/>
    <cellStyle name="Currency 5 3 3 2 9" xfId="6318" xr:uid="{76943893-CA19-4D2B-96A7-4F0644A51762}"/>
    <cellStyle name="Currency 5 3 3 3" xfId="747" xr:uid="{00000000-0005-0000-0000-000082010000}"/>
    <cellStyle name="Currency 5 3 3 3 2" xfId="4658" xr:uid="{1C31879F-FB10-4602-9161-D80EBD919A6C}"/>
    <cellStyle name="Currency 5 3 3 3 2 2" xfId="8876" xr:uid="{53B677C3-F65E-4565-9C36-E576DF91CDD7}"/>
    <cellStyle name="Currency 5 3 3 3 3" xfId="6731" xr:uid="{6BBF4D0B-C4DD-4BA1-9934-EDE863B9EB5D}"/>
    <cellStyle name="Currency 5 3 3 3 4" xfId="2428" xr:uid="{13F9D8EC-026F-497D-AA61-0E34BFF9B756}"/>
    <cellStyle name="Currency 5 3 3 3 5" xfId="1600" xr:uid="{981D3C41-88B4-4BDC-9F0D-464AEB68E66A}"/>
    <cellStyle name="Currency 5 3 3 3 6" xfId="10966" xr:uid="{38199EF6-552A-44E7-9632-6CC722239A66}"/>
    <cellStyle name="Currency 5 3 3 4" xfId="2842" xr:uid="{EC346B59-4FAD-471D-BDF1-CE498E3FD641}"/>
    <cellStyle name="Currency 5 3 3 4 2" xfId="5071" xr:uid="{EE66B6F6-5FFF-4935-A1FC-02CEA078C6A1}"/>
    <cellStyle name="Currency 5 3 3 4 2 2" xfId="9289" xr:uid="{90E8AEFD-3B4E-4B6F-96E1-EF3222A53034}"/>
    <cellStyle name="Currency 5 3 3 4 3" xfId="7144" xr:uid="{1FA7FAC4-9648-49B8-90B8-F3D09B0A165D}"/>
    <cellStyle name="Currency 5 3 3 5" xfId="3255" xr:uid="{60403A7C-0907-4D6D-9944-32978F0D9F60}"/>
    <cellStyle name="Currency 5 3 3 5 2" xfId="5484" xr:uid="{C0A53476-84E5-4004-B1B4-2CBC36239889}"/>
    <cellStyle name="Currency 5 3 3 5 2 2" xfId="9702" xr:uid="{2F27AA41-50D5-4D78-9111-C2C585A4E79E}"/>
    <cellStyle name="Currency 5 3 3 5 3" xfId="7557" xr:uid="{A910EDE4-7A8B-44FB-B21B-106562E051B3}"/>
    <cellStyle name="Currency 5 3 3 6" xfId="3668" xr:uid="{2F212F3D-AC71-45E3-8939-22D76DBA0387}"/>
    <cellStyle name="Currency 5 3 3 6 2" xfId="5897" xr:uid="{13D6F987-F3DB-4B16-9831-62F206E88BEE}"/>
    <cellStyle name="Currency 5 3 3 6 2 2" xfId="10115" xr:uid="{1687FF3C-3C97-4D08-8187-371E6A747FF0}"/>
    <cellStyle name="Currency 5 3 3 6 3" xfId="7970" xr:uid="{030304FC-9BED-4C20-B06A-B6891C85B7AD}"/>
    <cellStyle name="Currency 5 3 3 7" xfId="4103" xr:uid="{1075780F-3A78-415C-ACA1-910AF54E534C}"/>
    <cellStyle name="Currency 5 3 3 7 2" xfId="8383" xr:uid="{B8AB0369-5B62-4912-8341-DC6FF4F90E83}"/>
    <cellStyle name="Currency 5 3 3 8" xfId="4400" xr:uid="{B336BF0A-28AF-4BB0-9EC5-84616CE6D184}"/>
    <cellStyle name="Currency 5 3 3 9" xfId="4481" xr:uid="{5FD0058D-DDE1-418B-87D5-892317886050}"/>
    <cellStyle name="Currency 5 3 3 9 2" xfId="8700" xr:uid="{016074DE-1090-48CB-AE5A-B45453400D81}"/>
    <cellStyle name="Currency 5 3 4" xfId="217" xr:uid="{00000000-0005-0000-0000-000083010000}"/>
    <cellStyle name="Currency 5 3 4 10" xfId="2015" xr:uid="{C71B8ABD-1D61-4CA1-8798-71243D732E51}"/>
    <cellStyle name="Currency 5 3 4 11" xfId="1186" xr:uid="{AF83F1E0-D3AD-4C48-BE3D-338C12CC1D41}"/>
    <cellStyle name="Currency 5 3 4 12" xfId="10552" xr:uid="{347802A7-1CB6-4F6B-8217-64EDE0DA0E8A}"/>
    <cellStyle name="Currency 5 3 4 2" xfId="749" xr:uid="{00000000-0005-0000-0000-000084010000}"/>
    <cellStyle name="Currency 5 3 4 2 2" xfId="4660" xr:uid="{79A59AFA-B193-4B68-9A65-698A631DC1B1}"/>
    <cellStyle name="Currency 5 3 4 2 2 2" xfId="8878" xr:uid="{71782573-B38F-4137-924F-BFBA45E409CF}"/>
    <cellStyle name="Currency 5 3 4 2 3" xfId="6733" xr:uid="{C762E6EF-5D63-4721-90B5-C5751F2E0F99}"/>
    <cellStyle name="Currency 5 3 4 2 4" xfId="2430" xr:uid="{961A3671-67CB-472D-9917-79E00A4D8502}"/>
    <cellStyle name="Currency 5 3 4 2 5" xfId="1602" xr:uid="{6A59AF08-BC4C-4334-9D10-DD14F990E9BF}"/>
    <cellStyle name="Currency 5 3 4 2 6" xfId="10968" xr:uid="{D0FE3200-4E1E-4238-9BC4-F958C5EEC5BA}"/>
    <cellStyle name="Currency 5 3 4 3" xfId="2844" xr:uid="{B247B60E-91D9-475E-A4B4-4ED3DD33873E}"/>
    <cellStyle name="Currency 5 3 4 3 2" xfId="5073" xr:uid="{E6AB50D0-45E6-4B3B-BC2C-E9F6AEB2A9FC}"/>
    <cellStyle name="Currency 5 3 4 3 2 2" xfId="9291" xr:uid="{627CABE7-33B4-44BE-83A8-2CDF6ACF57C1}"/>
    <cellStyle name="Currency 5 3 4 3 3" xfId="7146" xr:uid="{1536A2CC-18A5-42D4-A7F2-AE21D486AA40}"/>
    <cellStyle name="Currency 5 3 4 4" xfId="3257" xr:uid="{5D6EDF83-160C-44F1-9F8B-D8F829A1C839}"/>
    <cellStyle name="Currency 5 3 4 4 2" xfId="5486" xr:uid="{98A522E2-359C-487E-9DE5-7FE841609CFF}"/>
    <cellStyle name="Currency 5 3 4 4 2 2" xfId="9704" xr:uid="{9D5A39AC-F12E-424E-9E7E-5328512B6700}"/>
    <cellStyle name="Currency 5 3 4 4 3" xfId="7559" xr:uid="{80EEA674-9913-4E4E-9A96-F161FF53FCAD}"/>
    <cellStyle name="Currency 5 3 4 5" xfId="3670" xr:uid="{03175BC4-B381-4D9E-B894-1EBAAA69103F}"/>
    <cellStyle name="Currency 5 3 4 5 2" xfId="5899" xr:uid="{1B0530AA-4784-446E-8D6F-0FA32F84DDD2}"/>
    <cellStyle name="Currency 5 3 4 5 2 2" xfId="10117" xr:uid="{7AB518D6-BD12-40FD-AA48-BAF8383DE5EF}"/>
    <cellStyle name="Currency 5 3 4 5 3" xfId="7972" xr:uid="{DC56588D-C9CB-486C-8041-084D47B41728}"/>
    <cellStyle name="Currency 5 3 4 6" xfId="4105" xr:uid="{280055F3-C1DA-4D40-B76A-316C9749E4EA}"/>
    <cellStyle name="Currency 5 3 4 6 2" xfId="8385" xr:uid="{BD4EDD75-7D08-4A7A-A363-8E84D13B98EE}"/>
    <cellStyle name="Currency 5 3 4 7" xfId="4402" xr:uid="{C7B97798-1220-4E8D-BD7C-0ACE3DEEA80C}"/>
    <cellStyle name="Currency 5 3 4 8" xfId="4483" xr:uid="{9E660E3B-4831-4D16-9658-35C15C33D132}"/>
    <cellStyle name="Currency 5 3 4 8 2" xfId="8702" xr:uid="{F7B733ED-0DAB-4936-B096-C24E045C6377}"/>
    <cellStyle name="Currency 5 3 4 9" xfId="6319" xr:uid="{E89342C5-A18B-492C-B44A-719313F2B92C}"/>
    <cellStyle name="Currency 5 3 5" xfId="218" xr:uid="{00000000-0005-0000-0000-000085010000}"/>
    <cellStyle name="Currency 5 3 5 10" xfId="2016" xr:uid="{D669DAF2-2E10-44C4-B098-78B6AB9AAC10}"/>
    <cellStyle name="Currency 5 3 5 11" xfId="1187" xr:uid="{578A5FA9-8C96-4134-89B1-1496C69F83E8}"/>
    <cellStyle name="Currency 5 3 5 12" xfId="10553" xr:uid="{3815BD47-30ED-4E79-84EB-6E542696BE4E}"/>
    <cellStyle name="Currency 5 3 5 2" xfId="750" xr:uid="{00000000-0005-0000-0000-000086010000}"/>
    <cellStyle name="Currency 5 3 5 2 2" xfId="4661" xr:uid="{530F95A2-A216-4B0E-8A05-20B369D3D1CA}"/>
    <cellStyle name="Currency 5 3 5 2 2 2" xfId="8879" xr:uid="{6E27409D-91F2-4A0A-A77E-F0CB7B383EE3}"/>
    <cellStyle name="Currency 5 3 5 2 3" xfId="6734" xr:uid="{CB4CE69B-C009-4712-81AD-BCFBBE4BF375}"/>
    <cellStyle name="Currency 5 3 5 2 4" xfId="2431" xr:uid="{5CBC996A-73F7-411B-8477-C18AB2E2C3D4}"/>
    <cellStyle name="Currency 5 3 5 2 5" xfId="1603" xr:uid="{21210C9A-5D87-4B09-BE48-597349A013DB}"/>
    <cellStyle name="Currency 5 3 5 2 6" xfId="10969" xr:uid="{00C8CA87-237C-4F60-8B4B-96EABAF330DC}"/>
    <cellStyle name="Currency 5 3 5 3" xfId="2845" xr:uid="{A0F62181-A489-4C59-A3DF-DD20C45BB7A1}"/>
    <cellStyle name="Currency 5 3 5 3 2" xfId="5074" xr:uid="{22E41337-F6AB-4D2D-B18D-8CB29EA3B2AF}"/>
    <cellStyle name="Currency 5 3 5 3 2 2" xfId="9292" xr:uid="{9CA0EE63-0905-4311-9F1D-0A8E814D5D80}"/>
    <cellStyle name="Currency 5 3 5 3 3" xfId="7147" xr:uid="{DC2E6193-EA05-4DB6-9544-2E893A97DC4A}"/>
    <cellStyle name="Currency 5 3 5 4" xfId="3258" xr:uid="{0B53BBD8-AADB-4F6A-9CC9-54E0DA203DBF}"/>
    <cellStyle name="Currency 5 3 5 4 2" xfId="5487" xr:uid="{A638C8CA-A089-48BE-8A22-8DCD1DDEFAAC}"/>
    <cellStyle name="Currency 5 3 5 4 2 2" xfId="9705" xr:uid="{B5D4B714-045D-488F-9D77-E99243A18264}"/>
    <cellStyle name="Currency 5 3 5 4 3" xfId="7560" xr:uid="{D11AB702-B36C-4000-A5CC-61E80E351EDB}"/>
    <cellStyle name="Currency 5 3 5 5" xfId="3671" xr:uid="{0B0302EF-4556-4C4E-A8CD-348AE9180DA3}"/>
    <cellStyle name="Currency 5 3 5 5 2" xfId="5900" xr:uid="{16BFDEB9-7E45-4216-BE9E-212CDABF088C}"/>
    <cellStyle name="Currency 5 3 5 5 2 2" xfId="10118" xr:uid="{06373FA7-B9CB-4977-876F-258E806F9400}"/>
    <cellStyle name="Currency 5 3 5 5 3" xfId="7973" xr:uid="{86145419-4B6C-429B-8018-2D0CDB4308AE}"/>
    <cellStyle name="Currency 5 3 5 6" xfId="4106" xr:uid="{98D32F67-AE35-4344-A1C7-4B159D34FDEA}"/>
    <cellStyle name="Currency 5 3 5 6 2" xfId="8386" xr:uid="{22E0C03C-367F-40FD-B71F-FA890A8B5C76}"/>
    <cellStyle name="Currency 5 3 5 7" xfId="4403" xr:uid="{8C9005A1-FE9A-44C9-A095-7BB5B4453362}"/>
    <cellStyle name="Currency 5 3 5 8" xfId="4484" xr:uid="{F78676D4-8A07-4E2C-A654-8A7A122282FB}"/>
    <cellStyle name="Currency 5 3 5 8 2" xfId="8703" xr:uid="{DD8793CB-D5F9-4EEA-A74B-5807520E766D}"/>
    <cellStyle name="Currency 5 3 5 9" xfId="6320" xr:uid="{381FA879-F1FB-4007-ACF9-B9BF79B5E9FF}"/>
    <cellStyle name="Currency 5 4" xfId="219" xr:uid="{00000000-0005-0000-0000-000087010000}"/>
    <cellStyle name="Currency 5 4 2" xfId="751" xr:uid="{00000000-0005-0000-0000-000088010000}"/>
    <cellStyle name="Currency 5 5" xfId="220" xr:uid="{00000000-0005-0000-0000-000089010000}"/>
    <cellStyle name="Currency 5 5 10" xfId="6321" xr:uid="{5C050D71-5653-4321-BE53-BA731314DF08}"/>
    <cellStyle name="Currency 5 5 11" xfId="2017" xr:uid="{62EC3217-C047-46C5-BF0D-F3735E0138B1}"/>
    <cellStyle name="Currency 5 5 12" xfId="1188" xr:uid="{01926F28-7C2B-4222-B52B-32F2B829412C}"/>
    <cellStyle name="Currency 5 5 13" xfId="10554" xr:uid="{FF49676D-9527-43D4-BE95-EA02D28C7B27}"/>
    <cellStyle name="Currency 5 5 2" xfId="221" xr:uid="{00000000-0005-0000-0000-00008A010000}"/>
    <cellStyle name="Currency 5 5 2 10" xfId="2018" xr:uid="{56762065-46D0-4E6A-8000-025EAEF45241}"/>
    <cellStyle name="Currency 5 5 2 11" xfId="1189" xr:uid="{021E9FBA-61A1-408F-95B0-05688B59FE81}"/>
    <cellStyle name="Currency 5 5 2 12" xfId="10555" xr:uid="{1AC25D80-BE89-494D-89AD-4ED8091CFE0B}"/>
    <cellStyle name="Currency 5 5 2 2" xfId="753" xr:uid="{00000000-0005-0000-0000-00008B010000}"/>
    <cellStyle name="Currency 5 5 2 2 2" xfId="4663" xr:uid="{AF98BC97-EF3E-479E-A729-2519691D0270}"/>
    <cellStyle name="Currency 5 5 2 2 2 2" xfId="8881" xr:uid="{9B7FCFB6-15A4-4D69-BD3B-7323D3010FA5}"/>
    <cellStyle name="Currency 5 5 2 2 3" xfId="6736" xr:uid="{3626698A-401E-42F3-AD41-196A1098C78F}"/>
    <cellStyle name="Currency 5 5 2 2 4" xfId="2433" xr:uid="{E2197A52-56EC-408D-B4D5-F31F39A787FF}"/>
    <cellStyle name="Currency 5 5 2 2 5" xfId="1605" xr:uid="{964F2C8A-1A96-4891-8CD8-D14009F43C09}"/>
    <cellStyle name="Currency 5 5 2 2 6" xfId="10971" xr:uid="{41837F5C-4B8D-4E0D-B5CE-8877D48203BA}"/>
    <cellStyle name="Currency 5 5 2 3" xfId="2847" xr:uid="{338C0530-4D94-4F26-97F2-FEC0D1EAA7C8}"/>
    <cellStyle name="Currency 5 5 2 3 2" xfId="5076" xr:uid="{0CC2EA78-A6E9-4E15-AE2D-82EAF3E66F8F}"/>
    <cellStyle name="Currency 5 5 2 3 2 2" xfId="9294" xr:uid="{F70A0495-73F6-4AFC-9114-E70E18A61E24}"/>
    <cellStyle name="Currency 5 5 2 3 3" xfId="7149" xr:uid="{8FCA32B5-10B3-4E44-B053-C50A4E023ED7}"/>
    <cellStyle name="Currency 5 5 2 4" xfId="3260" xr:uid="{6935ADB9-83AF-45F0-A479-1A3F0EF883EB}"/>
    <cellStyle name="Currency 5 5 2 4 2" xfId="5489" xr:uid="{C79BDDFD-CEEF-46A3-B067-128985A06780}"/>
    <cellStyle name="Currency 5 5 2 4 2 2" xfId="9707" xr:uid="{F308F548-7690-4E95-B7D5-944B415674F0}"/>
    <cellStyle name="Currency 5 5 2 4 3" xfId="7562" xr:uid="{6B3FAA2B-428D-4116-BA50-9BD5ED90D1DC}"/>
    <cellStyle name="Currency 5 5 2 5" xfId="3673" xr:uid="{F0D335DF-CEC9-450B-BD43-2B0D093C439A}"/>
    <cellStyle name="Currency 5 5 2 5 2" xfId="5902" xr:uid="{94422B0C-A1F9-4A01-BB26-BD9C8333E8B1}"/>
    <cellStyle name="Currency 5 5 2 5 2 2" xfId="10120" xr:uid="{4786F105-8AF3-4E85-9B85-829A8C835972}"/>
    <cellStyle name="Currency 5 5 2 5 3" xfId="7975" xr:uid="{78D2FA87-16C4-4B6D-8FF9-87616E6FA162}"/>
    <cellStyle name="Currency 5 5 2 6" xfId="4108" xr:uid="{8F64B82C-E98B-4CAF-934E-0C0326AD70D8}"/>
    <cellStyle name="Currency 5 5 2 6 2" xfId="8388" xr:uid="{18996DFD-22BA-4477-B5CA-C75324F6FF96}"/>
    <cellStyle name="Currency 5 5 2 7" xfId="4405" xr:uid="{7DDF65BE-AAB7-48D4-827A-D0DF68B898BC}"/>
    <cellStyle name="Currency 5 5 2 8" xfId="4486" xr:uid="{A5F354D3-B804-45B4-B35D-D6A7BD3B3FD8}"/>
    <cellStyle name="Currency 5 5 2 8 2" xfId="8705" xr:uid="{3161F834-9AC7-42CF-89CF-1FA4E4FBA39D}"/>
    <cellStyle name="Currency 5 5 2 9" xfId="6322" xr:uid="{D2252C24-CC00-4177-8177-27076CE7E300}"/>
    <cellStyle name="Currency 5 5 3" xfId="752" xr:uid="{00000000-0005-0000-0000-00008C010000}"/>
    <cellStyle name="Currency 5 5 3 2" xfId="4662" xr:uid="{13E03B6D-6B68-414C-99DD-1F1D819C0964}"/>
    <cellStyle name="Currency 5 5 3 2 2" xfId="8880" xr:uid="{3E8A1F64-CC8A-483D-A7FD-0089417C6E88}"/>
    <cellStyle name="Currency 5 5 3 3" xfId="6735" xr:uid="{B5FF2978-4289-49A8-84AB-18E648A4ED1A}"/>
    <cellStyle name="Currency 5 5 3 4" xfId="2432" xr:uid="{BA5BCC2B-2672-4909-BFC6-632AACF5762C}"/>
    <cellStyle name="Currency 5 5 3 5" xfId="1604" xr:uid="{41E30C6A-4B09-46DD-B9D9-49AC7918BB72}"/>
    <cellStyle name="Currency 5 5 3 6" xfId="10970" xr:uid="{CF086BB8-1A97-4705-B2E5-9790919034DC}"/>
    <cellStyle name="Currency 5 5 4" xfId="2846" xr:uid="{42AF1512-C709-4252-B456-AC5CAB79EE9B}"/>
    <cellStyle name="Currency 5 5 4 2" xfId="5075" xr:uid="{57D555EA-9A80-457E-AB60-31C7B83A0055}"/>
    <cellStyle name="Currency 5 5 4 2 2" xfId="9293" xr:uid="{0E10D099-9F49-4169-95D8-F0CD73C27C65}"/>
    <cellStyle name="Currency 5 5 4 3" xfId="7148" xr:uid="{3F060B15-B7D9-45E9-875E-15F00F1AA0B8}"/>
    <cellStyle name="Currency 5 5 5" xfId="3259" xr:uid="{4537A098-457E-44AD-95D7-9C3ADC0CD98D}"/>
    <cellStyle name="Currency 5 5 5 2" xfId="5488" xr:uid="{96EA4895-AB29-4D3F-A35D-8084AFF38E11}"/>
    <cellStyle name="Currency 5 5 5 2 2" xfId="9706" xr:uid="{D4B56119-C26F-45E2-B7A9-779583712EB3}"/>
    <cellStyle name="Currency 5 5 5 3" xfId="7561" xr:uid="{7BE2BD6E-E63E-4F2A-9FD8-41DA01E1B7A4}"/>
    <cellStyle name="Currency 5 5 6" xfId="3672" xr:uid="{2D16D67F-ED45-474D-8DEA-255801718D57}"/>
    <cellStyle name="Currency 5 5 6 2" xfId="5901" xr:uid="{971D5675-731D-4CD4-9571-A6669575E014}"/>
    <cellStyle name="Currency 5 5 6 2 2" xfId="10119" xr:uid="{D9F65776-8313-4ED8-B34C-0A33DD4030F5}"/>
    <cellStyle name="Currency 5 5 6 3" xfId="7974" xr:uid="{56813A39-F944-4CD5-B84B-7146A63073C8}"/>
    <cellStyle name="Currency 5 5 7" xfId="4107" xr:uid="{BD25148B-0439-4DFD-9945-16BEFFF5ADCF}"/>
    <cellStyle name="Currency 5 5 7 2" xfId="8387" xr:uid="{6C8FD41C-7C64-4525-9574-4779636C467D}"/>
    <cellStyle name="Currency 5 5 8" xfId="4404" xr:uid="{072651D2-D761-438F-8DFD-C7CD9E7A96C8}"/>
    <cellStyle name="Currency 5 5 9" xfId="4485" xr:uid="{FD6B5D46-2F0D-4E43-AABE-2B9873D5CEAE}"/>
    <cellStyle name="Currency 5 5 9 2" xfId="8704" xr:uid="{621D4B4F-85B2-4A49-A58D-E23660E58179}"/>
    <cellStyle name="Currency 5 6" xfId="222" xr:uid="{00000000-0005-0000-0000-00008D010000}"/>
    <cellStyle name="Currency 5 6 10" xfId="2019" xr:uid="{4384E26B-2CCE-4EF9-81E4-FF9D3774E04D}"/>
    <cellStyle name="Currency 5 6 11" xfId="1190" xr:uid="{1661C1E3-78AD-4E44-B92E-480C7E57ADC3}"/>
    <cellStyle name="Currency 5 6 12" xfId="10556" xr:uid="{B1DDC18C-55BB-403E-B5EE-632CA05F69CA}"/>
    <cellStyle name="Currency 5 6 2" xfId="754" xr:uid="{00000000-0005-0000-0000-00008E010000}"/>
    <cellStyle name="Currency 5 6 2 2" xfId="4664" xr:uid="{54754002-D10C-4E41-9560-F263027551AA}"/>
    <cellStyle name="Currency 5 6 2 2 2" xfId="8882" xr:uid="{819F1113-7930-4C20-A1F7-D57307ADE491}"/>
    <cellStyle name="Currency 5 6 2 3" xfId="6737" xr:uid="{C8FE2AEF-450B-488F-8865-EEAE750CB315}"/>
    <cellStyle name="Currency 5 6 2 4" xfId="2434" xr:uid="{F1386368-9B2F-4A13-A76B-0EA56EB74AF4}"/>
    <cellStyle name="Currency 5 6 2 5" xfId="1606" xr:uid="{360D7CDE-3105-4B14-BCCA-7E3392AE6C37}"/>
    <cellStyle name="Currency 5 6 2 6" xfId="10972" xr:uid="{B31FC113-60B0-499E-B915-F664FBFA8D44}"/>
    <cellStyle name="Currency 5 6 3" xfId="2848" xr:uid="{A44674F5-21A1-43B3-AC95-912D43822F79}"/>
    <cellStyle name="Currency 5 6 3 2" xfId="5077" xr:uid="{7BA5F96F-A268-4C1C-AEFC-6BB08186DB0E}"/>
    <cellStyle name="Currency 5 6 3 2 2" xfId="9295" xr:uid="{D7B32FC2-71E4-4E6E-9E12-BA5DEE06D009}"/>
    <cellStyle name="Currency 5 6 3 3" xfId="7150" xr:uid="{9130D536-55EB-4070-AC3F-6AA69E7C9E89}"/>
    <cellStyle name="Currency 5 6 4" xfId="3261" xr:uid="{C989AB66-AD12-4D55-B638-FD2B6130B326}"/>
    <cellStyle name="Currency 5 6 4 2" xfId="5490" xr:uid="{15B128BF-23DA-4691-89A0-95077A0C78A1}"/>
    <cellStyle name="Currency 5 6 4 2 2" xfId="9708" xr:uid="{6C1D90F5-FE0C-4C91-BA62-1FE640F304C5}"/>
    <cellStyle name="Currency 5 6 4 3" xfId="7563" xr:uid="{E049A215-121B-4944-B08C-29365CCBDE5E}"/>
    <cellStyle name="Currency 5 6 5" xfId="3674" xr:uid="{34484B44-5B1A-4083-9AA3-3CFF5A36D1F2}"/>
    <cellStyle name="Currency 5 6 5 2" xfId="5903" xr:uid="{2FD5E7A2-4D32-4A98-8219-B927AFA72A0C}"/>
    <cellStyle name="Currency 5 6 5 2 2" xfId="10121" xr:uid="{2D170DC4-67A5-41B1-BBD0-6CCADCB84963}"/>
    <cellStyle name="Currency 5 6 5 3" xfId="7976" xr:uid="{323D8BA2-D176-4459-8547-FE49A12FA715}"/>
    <cellStyle name="Currency 5 6 6" xfId="4109" xr:uid="{C7872F69-8232-44F1-BCD8-31A7FC2E126D}"/>
    <cellStyle name="Currency 5 6 6 2" xfId="8389" xr:uid="{128F1614-29E3-4742-9652-093A86BC9B91}"/>
    <cellStyle name="Currency 5 6 7" xfId="4406" xr:uid="{3174A172-D4D8-49F0-BA5D-1170ACF8550B}"/>
    <cellStyle name="Currency 5 6 8" xfId="4487" xr:uid="{350F7071-2B98-4DFA-A1E8-CD3C14540CB3}"/>
    <cellStyle name="Currency 5 6 8 2" xfId="8706" xr:uid="{12514967-2232-4E96-B2EA-B9078B61E590}"/>
    <cellStyle name="Currency 5 6 9" xfId="6323" xr:uid="{C74A3A33-67E3-419F-9748-8D3B2A7CFE47}"/>
    <cellStyle name="Currency 5 7" xfId="223" xr:uid="{00000000-0005-0000-0000-00008F010000}"/>
    <cellStyle name="Currency 5 7 10" xfId="2020" xr:uid="{C2562958-A94C-4AFE-A8D6-CE7A38100631}"/>
    <cellStyle name="Currency 5 7 11" xfId="1191" xr:uid="{1BC0701E-62D4-4F2E-8C60-D191F7D59E52}"/>
    <cellStyle name="Currency 5 7 12" xfId="10557" xr:uid="{0A184151-977F-457B-B676-7D487F68E4E0}"/>
    <cellStyle name="Currency 5 7 2" xfId="755" xr:uid="{00000000-0005-0000-0000-000090010000}"/>
    <cellStyle name="Currency 5 7 2 2" xfId="4665" xr:uid="{A40B0AC0-0083-40B0-A65B-2EA24E022154}"/>
    <cellStyle name="Currency 5 7 2 2 2" xfId="8883" xr:uid="{27DFA518-007F-4109-9D45-19F0D30D8F27}"/>
    <cellStyle name="Currency 5 7 2 3" xfId="6738" xr:uid="{ABBE76A5-55ED-4B04-863D-57062A69FD5B}"/>
    <cellStyle name="Currency 5 7 2 4" xfId="2435" xr:uid="{D35E5089-3839-4789-8731-5934C95E3020}"/>
    <cellStyle name="Currency 5 7 2 5" xfId="1607" xr:uid="{0737A6FC-8102-417A-BA7E-C7E270EC646E}"/>
    <cellStyle name="Currency 5 7 2 6" xfId="10973" xr:uid="{5B24AC47-FC77-4C92-8482-4F46726345FF}"/>
    <cellStyle name="Currency 5 7 3" xfId="2849" xr:uid="{AA226852-6DE4-40CC-8CAF-F16B9C4D889F}"/>
    <cellStyle name="Currency 5 7 3 2" xfId="5078" xr:uid="{E7F1E16E-CD9C-401C-98C1-64E8654D0BE7}"/>
    <cellStyle name="Currency 5 7 3 2 2" xfId="9296" xr:uid="{9146C6B7-1263-4B31-B18E-AE88D2795E52}"/>
    <cellStyle name="Currency 5 7 3 3" xfId="7151" xr:uid="{D9C41EE5-500F-43DA-B279-EFD76C5925BF}"/>
    <cellStyle name="Currency 5 7 4" xfId="3262" xr:uid="{44DC77BB-5ADE-450D-B662-FD9A01397BBD}"/>
    <cellStyle name="Currency 5 7 4 2" xfId="5491" xr:uid="{B1CCD7CF-F5B6-44C4-937B-D96BEBB548E5}"/>
    <cellStyle name="Currency 5 7 4 2 2" xfId="9709" xr:uid="{6529D918-252D-4889-AB93-E59511FB68D4}"/>
    <cellStyle name="Currency 5 7 4 3" xfId="7564" xr:uid="{E8C1B5AB-2F63-44DD-A089-9062FD7254E7}"/>
    <cellStyle name="Currency 5 7 5" xfId="3675" xr:uid="{AE9B610A-F716-460E-BCC3-A6882CF46E59}"/>
    <cellStyle name="Currency 5 7 5 2" xfId="5904" xr:uid="{4A82B107-41F3-4EF5-A062-ADADA67BABFE}"/>
    <cellStyle name="Currency 5 7 5 2 2" xfId="10122" xr:uid="{775E8AB7-54A4-4422-840E-D58204372C8A}"/>
    <cellStyle name="Currency 5 7 5 3" xfId="7977" xr:uid="{67574667-4FE7-448A-B5E7-6A86BF2AED55}"/>
    <cellStyle name="Currency 5 7 6" xfId="4110" xr:uid="{EB0B3B80-1CE7-4154-AEDD-A3E41F5D5ED6}"/>
    <cellStyle name="Currency 5 7 6 2" xfId="8390" xr:uid="{78C297E0-FA61-451E-8821-D3417940F525}"/>
    <cellStyle name="Currency 5 7 7" xfId="4407" xr:uid="{FA0DCDAD-0FBB-4F6E-9EDE-7AD982156232}"/>
    <cellStyle name="Currency 5 7 8" xfId="4488" xr:uid="{79A2A301-80EB-4BBB-B57A-3B2991D48608}"/>
    <cellStyle name="Currency 5 7 8 2" xfId="8707" xr:uid="{954071A1-37B9-4F78-998A-076D13E433B2}"/>
    <cellStyle name="Currency 5 7 9" xfId="6324" xr:uid="{BF749F6A-AD09-4F37-8C7A-9FBFA8695ADE}"/>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10" xfId="4112" xr:uid="{DB4BF81D-3A96-45A3-904E-79788545DC94}"/>
    <cellStyle name="Normal 12 10 2" xfId="8391" xr:uid="{E1D0DBF1-D589-40D0-9D3E-275D4929E3CD}"/>
    <cellStyle name="Normal 12 11" xfId="6325" xr:uid="{28D6EE90-2A57-4DE9-80D0-B4192CD00FA0}"/>
    <cellStyle name="Normal 12 12" xfId="2021" xr:uid="{C790F904-E20E-4D96-AC2C-880AB1AFA89E}"/>
    <cellStyle name="Normal 12 13" xfId="1192" xr:uid="{2763BE23-1C32-4D5F-B08F-09941F1A245B}"/>
    <cellStyle name="Normal 12 14" xfId="10558" xr:uid="{A7CA6B4B-EC27-445B-816E-8F83EBFF9EC3}"/>
    <cellStyle name="Normal 12 2" xfId="262" xr:uid="{00000000-0005-0000-0000-0000C5010000}"/>
    <cellStyle name="Normal 12 2 10" xfId="2022" xr:uid="{B191AA98-F5E0-4041-9AEB-D4DA4C49CEDC}"/>
    <cellStyle name="Normal 12 2 11" xfId="1193" xr:uid="{3CBF0E19-CA57-4C7E-9629-AE731FCEB403}"/>
    <cellStyle name="Normal 12 2 12" xfId="10559" xr:uid="{CB7A59CC-F9C8-4274-BFAB-9B3C04F000C2}"/>
    <cellStyle name="Normal 12 2 2" xfId="263" xr:uid="{00000000-0005-0000-0000-0000C6010000}"/>
    <cellStyle name="Normal 12 2 2 10" xfId="1194" xr:uid="{B940629A-C2D0-4576-B53E-38E0FF23D189}"/>
    <cellStyle name="Normal 12 2 2 11" xfId="10560" xr:uid="{A08D5D3F-2852-4C36-AFE3-11FBE0E91B27}"/>
    <cellStyle name="Normal 12 2 2 2" xfId="264" xr:uid="{00000000-0005-0000-0000-0000C7010000}"/>
    <cellStyle name="Normal 12 2 2 2 10" xfId="10561" xr:uid="{CF0347D1-A8E0-442F-887C-252E1179E8F2}"/>
    <cellStyle name="Normal 12 2 2 2 2" xfId="771" xr:uid="{00000000-0005-0000-0000-0000C8010000}"/>
    <cellStyle name="Normal 12 2 2 2 2 2" xfId="4669" xr:uid="{D0DB70F2-D725-48D3-9A33-1298DA33F603}"/>
    <cellStyle name="Normal 12 2 2 2 2 2 2" xfId="8887" xr:uid="{F0E8ECE0-B36E-4D25-B02F-B5C8FF30E17D}"/>
    <cellStyle name="Normal 12 2 2 2 2 3" xfId="6742" xr:uid="{2836CEC0-D142-4767-9A79-59300EB8FA26}"/>
    <cellStyle name="Normal 12 2 2 2 2 4" xfId="2439" xr:uid="{AA6F83A6-B545-4DC7-A671-9FE9ADA6DEC7}"/>
    <cellStyle name="Normal 12 2 2 2 2 5" xfId="1611" xr:uid="{ACA96BF1-F8AF-471A-A3E5-12375E7E894D}"/>
    <cellStyle name="Normal 12 2 2 2 2 6" xfId="10977" xr:uid="{73CA1B31-D831-40A8-A2F6-06B10A1A4601}"/>
    <cellStyle name="Normal 12 2 2 2 3" xfId="2853" xr:uid="{FCCD033F-96A2-454A-96F6-63C1F86513DD}"/>
    <cellStyle name="Normal 12 2 2 2 3 2" xfId="5082" xr:uid="{3BF43312-ABDE-4689-AE6C-8A204B3FD5D1}"/>
    <cellStyle name="Normal 12 2 2 2 3 2 2" xfId="9300" xr:uid="{548465FE-C078-4E1E-B495-9711BF4A9FBA}"/>
    <cellStyle name="Normal 12 2 2 2 3 3" xfId="7155" xr:uid="{BD0C6492-D48B-4131-ADC3-62DC2F166AAE}"/>
    <cellStyle name="Normal 12 2 2 2 4" xfId="3266" xr:uid="{F116BABE-4286-4AA0-9670-3AAF84624DCB}"/>
    <cellStyle name="Normal 12 2 2 2 4 2" xfId="5495" xr:uid="{1893D0CA-4F89-43AA-8B36-142A9791DB3B}"/>
    <cellStyle name="Normal 12 2 2 2 4 2 2" xfId="9713" xr:uid="{B7D4146C-2049-46E3-8A4C-4FED24CF4007}"/>
    <cellStyle name="Normal 12 2 2 2 4 3" xfId="7568" xr:uid="{E14F5C90-7264-4496-B0B6-BA1277EEA4E0}"/>
    <cellStyle name="Normal 12 2 2 2 5" xfId="3679" xr:uid="{489B0B62-023B-4746-8A64-B093A55AB0A8}"/>
    <cellStyle name="Normal 12 2 2 2 5 2" xfId="5908" xr:uid="{D60EB647-6DFB-416F-8995-395152D38683}"/>
    <cellStyle name="Normal 12 2 2 2 5 2 2" xfId="10126" xr:uid="{ACCBDB8F-D3E9-40CF-8D8D-FC91D6FC63BA}"/>
    <cellStyle name="Normal 12 2 2 2 5 3" xfId="7981" xr:uid="{94911003-AB7A-4E75-B6B5-76EE434DEBEB}"/>
    <cellStyle name="Normal 12 2 2 2 6" xfId="4115" xr:uid="{0F0DBFA1-3363-49FC-8AA2-5919B8CE1B88}"/>
    <cellStyle name="Normal 12 2 2 2 6 2" xfId="8394" xr:uid="{6FEA6936-A80F-4CC2-AEDE-B99BEC2F7D1A}"/>
    <cellStyle name="Normal 12 2 2 2 7" xfId="6328" xr:uid="{543D011E-4A1F-42B6-A460-C1BD5DC1CAC6}"/>
    <cellStyle name="Normal 12 2 2 2 8" xfId="2024" xr:uid="{FB3B5E3E-D16B-4AB2-8EEF-26B9F01F34C3}"/>
    <cellStyle name="Normal 12 2 2 2 9" xfId="1195" xr:uid="{7D0D7853-82A1-4326-B4A7-FDECB5668A2F}"/>
    <cellStyle name="Normal 12 2 2 3" xfId="770" xr:uid="{00000000-0005-0000-0000-0000C9010000}"/>
    <cellStyle name="Normal 12 2 2 3 2" xfId="4668" xr:uid="{07108C1C-8FB1-4780-BA3A-9D4F6EF3BA8A}"/>
    <cellStyle name="Normal 12 2 2 3 2 2" xfId="8886" xr:uid="{1888A5E4-6B3A-4F34-89EC-13EBB658AA3F}"/>
    <cellStyle name="Normal 12 2 2 3 3" xfId="6741" xr:uid="{DE19269F-A0C7-4882-82E4-95276DBBB085}"/>
    <cellStyle name="Normal 12 2 2 3 4" xfId="2438" xr:uid="{71EABF43-F0D5-4E14-9A31-0F34A3C147FE}"/>
    <cellStyle name="Normal 12 2 2 3 5" xfId="1610" xr:uid="{35DF3A93-F1E0-4168-A634-68CE871A54CA}"/>
    <cellStyle name="Normal 12 2 2 3 6" xfId="10976" xr:uid="{D5E534B9-C8F5-47E4-9554-A59C31C6A4DA}"/>
    <cellStyle name="Normal 12 2 2 4" xfId="2852" xr:uid="{62367165-B2B1-40E1-A897-787FBD6A7A75}"/>
    <cellStyle name="Normal 12 2 2 4 2" xfId="5081" xr:uid="{5F6B063F-58D7-459A-844E-DD2A1C6AA705}"/>
    <cellStyle name="Normal 12 2 2 4 2 2" xfId="9299" xr:uid="{C6324421-828D-4E0B-9B76-487FFA3C8795}"/>
    <cellStyle name="Normal 12 2 2 4 3" xfId="7154" xr:uid="{1A3B304C-6B76-49B8-A23C-9AD50EAB6ECF}"/>
    <cellStyle name="Normal 12 2 2 5" xfId="3265" xr:uid="{2B564C18-C13B-4728-A157-F5B32417565C}"/>
    <cellStyle name="Normal 12 2 2 5 2" xfId="5494" xr:uid="{528CE504-666B-4AEE-8E9B-9CB1A9190AC9}"/>
    <cellStyle name="Normal 12 2 2 5 2 2" xfId="9712" xr:uid="{5BF5BA0E-E2D1-43E8-BE77-3588A532FAE7}"/>
    <cellStyle name="Normal 12 2 2 5 3" xfId="7567" xr:uid="{D2FF24D4-1489-40F8-A373-684C57BF2594}"/>
    <cellStyle name="Normal 12 2 2 6" xfId="3678" xr:uid="{404B202D-AB0B-4418-95C9-0DECD6E41F1A}"/>
    <cellStyle name="Normal 12 2 2 6 2" xfId="5907" xr:uid="{F85F42A2-EB4F-43B5-AE49-358E024A2C16}"/>
    <cellStyle name="Normal 12 2 2 6 2 2" xfId="10125" xr:uid="{B040EC5C-99CF-48DB-8527-9489686623D9}"/>
    <cellStyle name="Normal 12 2 2 6 3" xfId="7980" xr:uid="{CBAF22AA-2F98-4F0C-ADF5-353D769FE46A}"/>
    <cellStyle name="Normal 12 2 2 7" xfId="4114" xr:uid="{E4F428FE-C5C1-4B28-8170-BF2EB51DECC5}"/>
    <cellStyle name="Normal 12 2 2 7 2" xfId="8393" xr:uid="{322787BD-C6BA-474B-A753-4B5AF8259A45}"/>
    <cellStyle name="Normal 12 2 2 8" xfId="6327" xr:uid="{8AF9B2D5-0C91-4E21-AE7A-81F02984881B}"/>
    <cellStyle name="Normal 12 2 2 9" xfId="2023" xr:uid="{40D05824-3759-4038-8D1D-789129D885BF}"/>
    <cellStyle name="Normal 12 2 3" xfId="265" xr:uid="{00000000-0005-0000-0000-0000CA010000}"/>
    <cellStyle name="Normal 12 2 3 10" xfId="10562" xr:uid="{9E99EC67-DBD7-4F50-871E-76A8521805E6}"/>
    <cellStyle name="Normal 12 2 3 2" xfId="772" xr:uid="{00000000-0005-0000-0000-0000CB010000}"/>
    <cellStyle name="Normal 12 2 3 2 2" xfId="4670" xr:uid="{0B610B24-5ECF-47EF-AAB1-4999EF77C3CE}"/>
    <cellStyle name="Normal 12 2 3 2 2 2" xfId="8888" xr:uid="{6D3F8D10-ADDF-4F4C-A4B3-5A1C29D9D8EF}"/>
    <cellStyle name="Normal 12 2 3 2 3" xfId="6743" xr:uid="{0A835E34-0283-4B56-A2EE-3F391FC285C4}"/>
    <cellStyle name="Normal 12 2 3 2 4" xfId="2440" xr:uid="{D0D40B52-95F9-4C98-AEA7-85E7D1D969C8}"/>
    <cellStyle name="Normal 12 2 3 2 5" xfId="1612" xr:uid="{7488409E-1738-4478-9687-048B186BE4B9}"/>
    <cellStyle name="Normal 12 2 3 2 6" xfId="10978" xr:uid="{212E5294-250C-4E2A-B64C-EA41BF406AD4}"/>
    <cellStyle name="Normal 12 2 3 3" xfId="2854" xr:uid="{CD6F65BB-7B8A-4440-BB93-82BC1B93D0DC}"/>
    <cellStyle name="Normal 12 2 3 3 2" xfId="5083" xr:uid="{C0E28844-19F8-4BE6-A1EF-95B93D5BB6CE}"/>
    <cellStyle name="Normal 12 2 3 3 2 2" xfId="9301" xr:uid="{2D7B9749-4348-425B-82B5-AE0147A78FA5}"/>
    <cellStyle name="Normal 12 2 3 3 3" xfId="7156" xr:uid="{C664482F-2BD8-480A-9E5C-EAEA21A7D3ED}"/>
    <cellStyle name="Normal 12 2 3 4" xfId="3267" xr:uid="{EE152BB8-4A58-47C3-93FB-1638A786B78D}"/>
    <cellStyle name="Normal 12 2 3 4 2" xfId="5496" xr:uid="{4765F6FE-3362-4E43-8786-2CFCB0DF8340}"/>
    <cellStyle name="Normal 12 2 3 4 2 2" xfId="9714" xr:uid="{723FCDE4-4404-4A76-B26A-9C0E6B50CFD6}"/>
    <cellStyle name="Normal 12 2 3 4 3" xfId="7569" xr:uid="{917504D3-CFDF-4698-B592-14E230854B87}"/>
    <cellStyle name="Normal 12 2 3 5" xfId="3680" xr:uid="{29D663FB-168E-4136-A313-70A44CCAEE5B}"/>
    <cellStyle name="Normal 12 2 3 5 2" xfId="5909" xr:uid="{237EAE01-8BB8-46F5-8E43-CC9D08F25F6B}"/>
    <cellStyle name="Normal 12 2 3 5 2 2" xfId="10127" xr:uid="{7B576F66-091F-4DEA-A92D-5D3C3D434B88}"/>
    <cellStyle name="Normal 12 2 3 5 3" xfId="7982" xr:uid="{61DF607F-8E7B-445B-BEB0-451EC1F1E8CD}"/>
    <cellStyle name="Normal 12 2 3 6" xfId="4116" xr:uid="{1D5D8D65-103B-411F-BBCD-DC3EC9D65846}"/>
    <cellStyle name="Normal 12 2 3 6 2" xfId="8395" xr:uid="{471F98D1-C4BF-463B-A13B-BAAE496E798C}"/>
    <cellStyle name="Normal 12 2 3 7" xfId="6329" xr:uid="{628BCA26-01E3-4ECC-ADD0-35AAB08EE520}"/>
    <cellStyle name="Normal 12 2 3 8" xfId="2025" xr:uid="{DCE6AEAD-8DF0-4746-9AAB-A2C9B52C60EC}"/>
    <cellStyle name="Normal 12 2 3 9" xfId="1196" xr:uid="{84B14CEB-D7E4-428F-B8C8-97906AE2513A}"/>
    <cellStyle name="Normal 12 2 4" xfId="769" xr:uid="{00000000-0005-0000-0000-0000CC010000}"/>
    <cellStyle name="Normal 12 2 4 2" xfId="4667" xr:uid="{AA3ACA97-0ABE-4A2B-B00E-EA6669E8CA29}"/>
    <cellStyle name="Normal 12 2 4 2 2" xfId="8885" xr:uid="{3FB2622F-75F9-43BD-B689-100D799BE38C}"/>
    <cellStyle name="Normal 12 2 4 3" xfId="6740" xr:uid="{4847EAA9-8D7C-4585-93BE-D4405CBDCF26}"/>
    <cellStyle name="Normal 12 2 4 4" xfId="2437" xr:uid="{3CA540B3-BCBA-4A00-8AAD-3005231D851F}"/>
    <cellStyle name="Normal 12 2 4 5" xfId="1609" xr:uid="{2CFA937F-AEFC-46C3-B5AA-655B34B1A363}"/>
    <cellStyle name="Normal 12 2 4 6" xfId="10975" xr:uid="{92413AD6-4673-4192-B3CC-2F718E6A69B4}"/>
    <cellStyle name="Normal 12 2 5" xfId="2851" xr:uid="{C88A8519-125F-4589-862B-51A14375E033}"/>
    <cellStyle name="Normal 12 2 5 2" xfId="5080" xr:uid="{9EBE39DE-7E69-450B-BC97-80CF8821BA11}"/>
    <cellStyle name="Normal 12 2 5 2 2" xfId="9298" xr:uid="{29DE699E-8FB9-4D1A-8279-84416E2E746B}"/>
    <cellStyle name="Normal 12 2 5 3" xfId="7153" xr:uid="{A9A75D7C-81CA-447D-9D6F-08E9E785F11B}"/>
    <cellStyle name="Normal 12 2 6" xfId="3264" xr:uid="{5CAD12FB-74E6-4D5A-8B87-E286055ACC3F}"/>
    <cellStyle name="Normal 12 2 6 2" xfId="5493" xr:uid="{3B1CBFE4-09BB-41B0-AF83-023E261764BC}"/>
    <cellStyle name="Normal 12 2 6 2 2" xfId="9711" xr:uid="{9DAF5572-62E3-44CC-ACE1-FA5EAC8FCE02}"/>
    <cellStyle name="Normal 12 2 6 3" xfId="7566" xr:uid="{1C5C8706-D3CA-4C2D-A89C-B729F57F4779}"/>
    <cellStyle name="Normal 12 2 7" xfId="3677" xr:uid="{C2788E14-94FE-48A1-B59F-5557E030C85E}"/>
    <cellStyle name="Normal 12 2 7 2" xfId="5906" xr:uid="{1521FEF5-7570-444E-B787-D82881EEFD70}"/>
    <cellStyle name="Normal 12 2 7 2 2" xfId="10124" xr:uid="{420E66C4-2787-4D77-9BAB-859EF0978945}"/>
    <cellStyle name="Normal 12 2 7 3" xfId="7979" xr:uid="{5639EA5F-0C5A-42C9-B7F8-F99397F6726B}"/>
    <cellStyle name="Normal 12 2 8" xfId="4113" xr:uid="{713C6F66-2954-48BF-8561-7B30B172F690}"/>
    <cellStyle name="Normal 12 2 8 2" xfId="8392" xr:uid="{ACBA13E7-D70F-4951-8C35-BF137989DCD6}"/>
    <cellStyle name="Normal 12 2 9" xfId="6326" xr:uid="{BE8E31B9-285D-4283-96AC-FD196316F94C}"/>
    <cellStyle name="Normal 12 3" xfId="266" xr:uid="{00000000-0005-0000-0000-0000CD010000}"/>
    <cellStyle name="Normal 12 3 10" xfId="1197" xr:uid="{E7EE030B-7CB7-4329-88B3-1156966D8561}"/>
    <cellStyle name="Normal 12 3 11" xfId="10563" xr:uid="{7753C4F6-A8B5-48E1-9D40-262165AE4E2B}"/>
    <cellStyle name="Normal 12 3 2" xfId="267" xr:uid="{00000000-0005-0000-0000-0000CE010000}"/>
    <cellStyle name="Normal 12 3 2 10" xfId="10564" xr:uid="{0770C158-D0A4-47AE-8AA5-14A0D336E4E4}"/>
    <cellStyle name="Normal 12 3 2 2" xfId="774" xr:uid="{00000000-0005-0000-0000-0000CF010000}"/>
    <cellStyle name="Normal 12 3 2 2 2" xfId="4672" xr:uid="{51B3017D-4AB9-4B9B-A033-49C19E7CE2CB}"/>
    <cellStyle name="Normal 12 3 2 2 2 2" xfId="8890" xr:uid="{91DCDACF-36B1-4458-9B12-8386920B9D73}"/>
    <cellStyle name="Normal 12 3 2 2 3" xfId="6745" xr:uid="{E10C5D9C-B893-49FE-AACB-75AE551AD94E}"/>
    <cellStyle name="Normal 12 3 2 2 4" xfId="2442" xr:uid="{75F9569C-9103-4EF4-A903-27733BE28002}"/>
    <cellStyle name="Normal 12 3 2 2 5" xfId="1614" xr:uid="{035C0FDD-DB2A-43D3-8CFE-ABCB97A8F71F}"/>
    <cellStyle name="Normal 12 3 2 2 6" xfId="10980" xr:uid="{12E61037-5E40-4BBD-921A-8C498A5FC509}"/>
    <cellStyle name="Normal 12 3 2 3" xfId="2856" xr:uid="{15A1258A-14D6-4A75-8E78-0F9307AD1BAF}"/>
    <cellStyle name="Normal 12 3 2 3 2" xfId="5085" xr:uid="{BB002119-0E42-4482-8DE7-99B5B1C4B536}"/>
    <cellStyle name="Normal 12 3 2 3 2 2" xfId="9303" xr:uid="{0FA135A0-DB0C-4968-960E-B63086CE1FE6}"/>
    <cellStyle name="Normal 12 3 2 3 3" xfId="7158" xr:uid="{1955887D-BFBC-477B-8521-F009396BC501}"/>
    <cellStyle name="Normal 12 3 2 4" xfId="3269" xr:uid="{CB05578D-A3FF-423B-9CFB-956CACA7118A}"/>
    <cellStyle name="Normal 12 3 2 4 2" xfId="5498" xr:uid="{63085ED9-7CE4-4B42-B3D7-FD27B3E0CA0E}"/>
    <cellStyle name="Normal 12 3 2 4 2 2" xfId="9716" xr:uid="{B11BB1BC-6C81-4F49-A52A-F23BD88034BD}"/>
    <cellStyle name="Normal 12 3 2 4 3" xfId="7571" xr:uid="{D25FA1CC-DCA1-4D21-951D-CF1F642EB387}"/>
    <cellStyle name="Normal 12 3 2 5" xfId="3682" xr:uid="{BB7712E8-1574-4A8F-9A8D-43F66DD258DC}"/>
    <cellStyle name="Normal 12 3 2 5 2" xfId="5911" xr:uid="{757EFF55-9B41-42AC-88D2-8DD122BAEB69}"/>
    <cellStyle name="Normal 12 3 2 5 2 2" xfId="10129" xr:uid="{596F838B-C6A9-4B45-BC82-56D93AB72DC2}"/>
    <cellStyle name="Normal 12 3 2 5 3" xfId="7984" xr:uid="{8641E088-2ECA-4F0F-BEDB-FE8F1F34FFF8}"/>
    <cellStyle name="Normal 12 3 2 6" xfId="4118" xr:uid="{FDB8AB66-5EED-43AD-9C8A-193BB98F996D}"/>
    <cellStyle name="Normal 12 3 2 6 2" xfId="8397" xr:uid="{EEBC6D59-C76D-4A89-87C8-B0FABCA57B6E}"/>
    <cellStyle name="Normal 12 3 2 7" xfId="6331" xr:uid="{E4C1959C-3B68-4742-AF82-A150A8237766}"/>
    <cellStyle name="Normal 12 3 2 8" xfId="2027" xr:uid="{BFCFFD37-1540-4905-A599-0DB3C7DA89E1}"/>
    <cellStyle name="Normal 12 3 2 9" xfId="1198" xr:uid="{AB54D3D1-4AC1-4075-AF38-2BC670F49827}"/>
    <cellStyle name="Normal 12 3 3" xfId="773" xr:uid="{00000000-0005-0000-0000-0000D0010000}"/>
    <cellStyle name="Normal 12 3 3 2" xfId="4671" xr:uid="{ED81E2C5-6EF5-4A02-A553-89302980DB96}"/>
    <cellStyle name="Normal 12 3 3 2 2" xfId="8889" xr:uid="{B4D8C2CB-54CF-42E0-8136-3B382F6EEDF2}"/>
    <cellStyle name="Normal 12 3 3 3" xfId="6744" xr:uid="{B2005077-5810-4817-B039-81ADBA840777}"/>
    <cellStyle name="Normal 12 3 3 4" xfId="2441" xr:uid="{69B76F76-6B18-4FBE-B1C1-D459E8A94F37}"/>
    <cellStyle name="Normal 12 3 3 5" xfId="1613" xr:uid="{1D80093D-B865-45DC-8234-1D4A9441C6F5}"/>
    <cellStyle name="Normal 12 3 3 6" xfId="10979" xr:uid="{251730FD-1301-419C-A367-F4430CB30F94}"/>
    <cellStyle name="Normal 12 3 4" xfId="2855" xr:uid="{0B19F686-222F-4FD4-BF24-97D44C54F75A}"/>
    <cellStyle name="Normal 12 3 4 2" xfId="5084" xr:uid="{32FDC77A-41DF-44E9-8497-7BD59D2F38FD}"/>
    <cellStyle name="Normal 12 3 4 2 2" xfId="9302" xr:uid="{20DF90A8-16D5-48D6-A4BC-0EBA0F5ABB69}"/>
    <cellStyle name="Normal 12 3 4 3" xfId="7157" xr:uid="{75A66C87-48EE-4B64-B858-61AECA6AB1CC}"/>
    <cellStyle name="Normal 12 3 5" xfId="3268" xr:uid="{2C47FCF1-294E-43F3-BCBB-5DB60A87CE2F}"/>
    <cellStyle name="Normal 12 3 5 2" xfId="5497" xr:uid="{996B3DD6-E209-4451-A234-C34F5661F34B}"/>
    <cellStyle name="Normal 12 3 5 2 2" xfId="9715" xr:uid="{4985C230-1C79-40B1-B81F-3D3EA0DAD55D}"/>
    <cellStyle name="Normal 12 3 5 3" xfId="7570" xr:uid="{BB881900-A027-474D-8BC8-C3C7D4FA4D2D}"/>
    <cellStyle name="Normal 12 3 6" xfId="3681" xr:uid="{9BC1868C-3426-4679-9B18-53D5996F857F}"/>
    <cellStyle name="Normal 12 3 6 2" xfId="5910" xr:uid="{F909A510-D5F1-40A8-8F39-8550E28A1B37}"/>
    <cellStyle name="Normal 12 3 6 2 2" xfId="10128" xr:uid="{3FE78E5F-C16E-4294-A97B-37160EA497FC}"/>
    <cellStyle name="Normal 12 3 6 3" xfId="7983" xr:uid="{158797AF-7D2D-47E3-BDC8-D8AE009184DE}"/>
    <cellStyle name="Normal 12 3 7" xfId="4117" xr:uid="{F5F79040-B98E-46CF-824E-C78E8C13A950}"/>
    <cellStyle name="Normal 12 3 7 2" xfId="8396" xr:uid="{2993EC31-D2C4-44D9-8DCE-5BADFABB2A47}"/>
    <cellStyle name="Normal 12 3 8" xfId="6330" xr:uid="{BA35E05D-36AF-4AF5-82F1-7CC88FDC5289}"/>
    <cellStyle name="Normal 12 3 9" xfId="2026" xr:uid="{D4B24AB9-D170-4EF7-BEE0-D27ED8B02B00}"/>
    <cellStyle name="Normal 12 4" xfId="268" xr:uid="{00000000-0005-0000-0000-0000D1010000}"/>
    <cellStyle name="Normal 12 4 10" xfId="10565" xr:uid="{EEB8CCAE-F7AA-45B3-BC02-A4A3A08E837E}"/>
    <cellStyle name="Normal 12 4 2" xfId="775" xr:uid="{00000000-0005-0000-0000-0000D2010000}"/>
    <cellStyle name="Normal 12 4 2 2" xfId="4673" xr:uid="{4010A43E-00EE-400A-9709-BD463BDB0B87}"/>
    <cellStyle name="Normal 12 4 2 2 2" xfId="8891" xr:uid="{34898FF7-6B39-478A-A748-17DF292E5CB4}"/>
    <cellStyle name="Normal 12 4 2 3" xfId="6746" xr:uid="{2BB2F8D8-372E-4D27-A3E5-82F53FEEDD5F}"/>
    <cellStyle name="Normal 12 4 2 4" xfId="2443" xr:uid="{09F71E06-C821-4CFE-BD8C-A576957BA260}"/>
    <cellStyle name="Normal 12 4 2 5" xfId="1615" xr:uid="{5B6C52F1-E4B4-4FC3-A1D2-58EB700EC397}"/>
    <cellStyle name="Normal 12 4 2 6" xfId="10981" xr:uid="{FDE36A54-0557-4AF1-8738-D60B467103E2}"/>
    <cellStyle name="Normal 12 4 3" xfId="2857" xr:uid="{C7BFE78F-FF9E-45B2-A1CD-DE5C8F068834}"/>
    <cellStyle name="Normal 12 4 3 2" xfId="5086" xr:uid="{EF7CD550-AAC5-4BDE-9284-EF3B24784FF6}"/>
    <cellStyle name="Normal 12 4 3 2 2" xfId="9304" xr:uid="{6B24892D-C960-4030-9487-8CD887F25C54}"/>
    <cellStyle name="Normal 12 4 3 3" xfId="7159" xr:uid="{AE2A25AD-0D5D-432F-A0C6-1A2220B417BF}"/>
    <cellStyle name="Normal 12 4 4" xfId="3270" xr:uid="{96833EFA-D8B3-43EC-8C91-DC75BAE6BE58}"/>
    <cellStyle name="Normal 12 4 4 2" xfId="5499" xr:uid="{9D3A4734-78EC-42F5-BD31-6683025DEB78}"/>
    <cellStyle name="Normal 12 4 4 2 2" xfId="9717" xr:uid="{F5B2F728-6914-481C-B0ED-9916FFB264B7}"/>
    <cellStyle name="Normal 12 4 4 3" xfId="7572" xr:uid="{78BCDD79-4A7D-47FB-893A-C95B6AA23E47}"/>
    <cellStyle name="Normal 12 4 5" xfId="3683" xr:uid="{2542F5F5-C4EA-4C6A-AE85-5E07C33EAE58}"/>
    <cellStyle name="Normal 12 4 5 2" xfId="5912" xr:uid="{0BD5FF77-46D7-406C-B41E-A11DFD04D006}"/>
    <cellStyle name="Normal 12 4 5 2 2" xfId="10130" xr:uid="{6931D155-1CAA-4AA5-9230-88862A87709B}"/>
    <cellStyle name="Normal 12 4 5 3" xfId="7985" xr:uid="{918B9BC8-D8FB-43F3-A7E1-49C2FDA04F4F}"/>
    <cellStyle name="Normal 12 4 6" xfId="4119" xr:uid="{943FFA8B-2633-436C-9A1A-67D6F628A700}"/>
    <cellStyle name="Normal 12 4 6 2" xfId="8398" xr:uid="{916F8A22-40DC-471C-9C71-D8C1790F7E24}"/>
    <cellStyle name="Normal 12 4 7" xfId="6332" xr:uid="{D0581562-0CAF-4A9B-AFAA-8E50CE75DAA5}"/>
    <cellStyle name="Normal 12 4 8" xfId="2028" xr:uid="{A4CC0B52-0CCA-4057-BED0-0B47D5258E20}"/>
    <cellStyle name="Normal 12 4 9" xfId="1199" xr:uid="{0D095903-A1FD-438F-ACB1-24D505780FD8}"/>
    <cellStyle name="Normal 12 5" xfId="269" xr:uid="{00000000-0005-0000-0000-0000D3010000}"/>
    <cellStyle name="Normal 12 6" xfId="768" xr:uid="{00000000-0005-0000-0000-0000D4010000}"/>
    <cellStyle name="Normal 12 6 2" xfId="4666" xr:uid="{37A84340-6272-4812-9AE0-B50A99C9E177}"/>
    <cellStyle name="Normal 12 6 2 2" xfId="8884" xr:uid="{8C7786BA-3B6E-4A70-8F61-E42C41545428}"/>
    <cellStyle name="Normal 12 6 3" xfId="6739" xr:uid="{341CA399-4703-4A47-9A01-8B447450E211}"/>
    <cellStyle name="Normal 12 6 4" xfId="2436" xr:uid="{0E2A4A70-DD2D-4D6F-AE1C-30558D34809A}"/>
    <cellStyle name="Normal 12 6 5" xfId="1608" xr:uid="{B64F3884-B0E7-4916-8AF1-2D00ADDD5972}"/>
    <cellStyle name="Normal 12 6 6" xfId="10974" xr:uid="{70F1B9EA-A1DD-4F08-B825-E65A0098E3A5}"/>
    <cellStyle name="Normal 12 7" xfId="2850" xr:uid="{5D7779BE-B922-4625-B03F-6BF2D3D64B9C}"/>
    <cellStyle name="Normal 12 7 2" xfId="5079" xr:uid="{633338DA-65BE-4AE3-908E-74E0FAF3F14F}"/>
    <cellStyle name="Normal 12 7 2 2" xfId="9297" xr:uid="{790D358A-4B66-4A4B-B12E-12FD8ABF14B3}"/>
    <cellStyle name="Normal 12 7 3" xfId="7152" xr:uid="{B6A157FC-E4B6-4FEC-9591-D0DC7A513FAD}"/>
    <cellStyle name="Normal 12 8" xfId="3263" xr:uid="{BECD3F52-0926-4425-A110-9F754D354D43}"/>
    <cellStyle name="Normal 12 8 2" xfId="5492" xr:uid="{1E6218C4-A23B-4931-B1F7-60476CA3361E}"/>
    <cellStyle name="Normal 12 8 2 2" xfId="9710" xr:uid="{A119545A-48DE-489D-B17E-3EECEE937348}"/>
    <cellStyle name="Normal 12 8 3" xfId="7565" xr:uid="{F4992574-CCE5-4631-809B-0ED0261F0AE5}"/>
    <cellStyle name="Normal 12 9" xfId="3676" xr:uid="{16479639-B520-4EE2-A7C6-C30EF7F9313D}"/>
    <cellStyle name="Normal 12 9 2" xfId="5905" xr:uid="{CE818823-5376-406E-AE7F-07A9C5141E24}"/>
    <cellStyle name="Normal 12 9 2 2" xfId="10123" xr:uid="{08A57109-B1F3-4BAE-8556-B602A4FC1D8C}"/>
    <cellStyle name="Normal 12 9 3" xfId="7978" xr:uid="{5C219C30-C731-4471-9D1C-574127B79691}"/>
    <cellStyle name="Normal 13" xfId="270" xr:uid="{00000000-0005-0000-0000-0000D5010000}"/>
    <cellStyle name="Normal 13 2" xfId="271" xr:uid="{00000000-0005-0000-0000-0000D6010000}"/>
    <cellStyle name="Normal 14" xfId="272" xr:uid="{00000000-0005-0000-0000-0000D7010000}"/>
    <cellStyle name="Normal 14 10" xfId="10566" xr:uid="{61E5F5EE-6155-4FEE-82DF-3B5A85F49D86}"/>
    <cellStyle name="Normal 14 2" xfId="776" xr:uid="{00000000-0005-0000-0000-0000D8010000}"/>
    <cellStyle name="Normal 14 2 2" xfId="4674" xr:uid="{6C627BA0-1611-4629-8743-188894AA2706}"/>
    <cellStyle name="Normal 14 2 2 2" xfId="8892" xr:uid="{8DF52AE3-DF9E-4315-BEE4-C8310406AE1A}"/>
    <cellStyle name="Normal 14 2 3" xfId="6747" xr:uid="{1FCAACFB-86A1-4A8A-8897-AB495FB1B0DF}"/>
    <cellStyle name="Normal 14 2 4" xfId="2444" xr:uid="{CB3C6F97-2807-4B2F-9594-635E67CA4F44}"/>
    <cellStyle name="Normal 14 2 5" xfId="1616" xr:uid="{ADDCA396-51CE-427B-88F1-E7253F14D4B9}"/>
    <cellStyle name="Normal 14 2 6" xfId="10982" xr:uid="{FA55886D-986C-447D-B628-F16EDBB1264B}"/>
    <cellStyle name="Normal 14 3" xfId="2858" xr:uid="{4D1F45B4-D802-4CDA-A5CB-E1855F0AD6EB}"/>
    <cellStyle name="Normal 14 3 2" xfId="5087" xr:uid="{070BCA9D-B47E-4EA6-8ABA-6D07B6657F52}"/>
    <cellStyle name="Normal 14 3 2 2" xfId="9305" xr:uid="{FB855B01-2A47-4682-A6A1-9CF213547FFD}"/>
    <cellStyle name="Normal 14 3 3" xfId="7160" xr:uid="{E9721645-C30E-430B-BDDB-4BA3C36384D6}"/>
    <cellStyle name="Normal 14 4" xfId="3271" xr:uid="{4D2A56F6-2445-4A3E-B177-8251CB6DD037}"/>
    <cellStyle name="Normal 14 4 2" xfId="5500" xr:uid="{B8393181-D81C-4806-A3AE-6474721E94F8}"/>
    <cellStyle name="Normal 14 4 2 2" xfId="9718" xr:uid="{7D27C5CF-E4BB-401B-910E-30F04B01E0E6}"/>
    <cellStyle name="Normal 14 4 3" xfId="7573" xr:uid="{CBF97A76-1905-4C02-9E12-034125737796}"/>
    <cellStyle name="Normal 14 5" xfId="3684" xr:uid="{0C515F59-43D5-490A-AA12-759C326532CA}"/>
    <cellStyle name="Normal 14 5 2" xfId="5913" xr:uid="{55B7C5CD-15D6-4F00-B912-2880B1D9B47F}"/>
    <cellStyle name="Normal 14 5 2 2" xfId="10131" xr:uid="{D9400F07-E5D1-4C31-8635-1CF6F2FF9F98}"/>
    <cellStyle name="Normal 14 5 3" xfId="7986" xr:uid="{C47C257E-0334-42B3-9FAC-0B085F096970}"/>
    <cellStyle name="Normal 14 6" xfId="4120" xr:uid="{802AED45-1979-41EC-875A-352A729F2FE9}"/>
    <cellStyle name="Normal 14 6 2" xfId="8399" xr:uid="{59535D0F-9ABC-417E-8D30-A1DFEA9352DB}"/>
    <cellStyle name="Normal 14 7" xfId="6333" xr:uid="{DABF484E-BEF1-4DFA-9F4B-B9014B3F1B7F}"/>
    <cellStyle name="Normal 14 8" xfId="2029" xr:uid="{702CDE46-0C59-4D45-A65E-404E72940FB7}"/>
    <cellStyle name="Normal 14 9" xfId="1200" xr:uid="{9720EA60-E59D-41CE-BE25-EC42270812AE}"/>
    <cellStyle name="Normal 15" xfId="575" xr:uid="{00000000-0005-0000-0000-0000D9010000}"/>
    <cellStyle name="Normal 15 2" xfId="6159" xr:uid="{F6F5D9F5-F3D6-47F5-A876-77BB62F3570C}"/>
    <cellStyle name="Normal 15 3" xfId="1445" xr:uid="{EEDA276E-B348-4FA3-A8B4-4ADD90357D5C}"/>
    <cellStyle name="Normal 15 4" xfId="10811" xr:uid="{3D2C1F0E-8AB1-4293-8362-B28EC02A80D8}"/>
    <cellStyle name="Normal 16" xfId="1031" xr:uid="{71555299-3AAE-4757-82DA-EA32672CBCC0}"/>
    <cellStyle name="Normal 16 2" xfId="10376" xr:uid="{DA3AEEC0-30ED-4788-9ACF-D6716846D49A}"/>
    <cellStyle name="Normal 16 3" xfId="10379" xr:uid="{684E97DD-5ADA-4C13-AE08-07647A631595}"/>
    <cellStyle name="Normal 16 3 2" xfId="10382" xr:uid="{4ADD792E-8C71-4E91-8B90-602724D68166}"/>
    <cellStyle name="Normal 16 3 2 2" xfId="10385" xr:uid="{2C88CAF5-AFD6-4F99-9B63-842FA733A9F5}"/>
    <cellStyle name="Normal 16 3 2 2 2" xfId="10389" xr:uid="{F436C196-C4C5-4B84-B904-5BC41F2B92B1}"/>
    <cellStyle name="Normal 16 3 2 2 2 2" xfId="10392" xr:uid="{20BBCA5E-9BA1-425A-88A7-7D0FBC49EA44}"/>
    <cellStyle name="Normal 16 4" xfId="6162" xr:uid="{606E8852-A5F0-4917-A1B5-23076CDB2CBA}"/>
    <cellStyle name="Normal 17" xfId="10388" xr:uid="{A0D650BB-C0AC-405A-AB67-489B3342B069}"/>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10" xfId="3685" xr:uid="{3C061555-F64D-4952-BB0A-0F30EB2A741A}"/>
    <cellStyle name="Normal 2 4 2 10 2" xfId="5914" xr:uid="{2A9B2316-FAF3-48B9-B4C6-A2442E2C5877}"/>
    <cellStyle name="Normal 2 4 2 10 2 2" xfId="10132" xr:uid="{C96A53BD-9CBE-4018-8044-B258124FCB3D}"/>
    <cellStyle name="Normal 2 4 2 10 3" xfId="7987" xr:uid="{C462C793-FBA0-4E04-A296-E547803437E2}"/>
    <cellStyle name="Normal 2 4 2 11" xfId="4121" xr:uid="{5AE4B799-5F4E-402E-9121-815C91524772}"/>
    <cellStyle name="Normal 2 4 2 11 2" xfId="8400" xr:uid="{678A9D68-16EC-49E3-9E5A-18BB53BA2A9F}"/>
    <cellStyle name="Normal 2 4 2 12" xfId="6334" xr:uid="{C46B5285-404F-4C05-801E-EF23B292F3EF}"/>
    <cellStyle name="Normal 2 4 2 13" xfId="2030" xr:uid="{4381B55D-8F64-47FF-ABA5-22B1D87D8114}"/>
    <cellStyle name="Normal 2 4 2 14" xfId="1201" xr:uid="{7684CF90-10FA-472C-8E08-36168444D553}"/>
    <cellStyle name="Normal 2 4 2 15" xfId="10567" xr:uid="{CB6D2A02-0CFC-4FE6-90CC-E0969F2DBF30}"/>
    <cellStyle name="Normal 2 4 2 2" xfId="283" xr:uid="{00000000-0005-0000-0000-0000E6010000}"/>
    <cellStyle name="Normal 2 4 2 3" xfId="284" xr:uid="{00000000-0005-0000-0000-0000E7010000}"/>
    <cellStyle name="Normal 2 4 2 3 10" xfId="6335" xr:uid="{77864CE5-0CBF-404A-98DB-E281DD24E368}"/>
    <cellStyle name="Normal 2 4 2 3 11" xfId="2031" xr:uid="{B581E222-C537-44D0-8046-E76D949F247E}"/>
    <cellStyle name="Normal 2 4 2 3 12" xfId="1202" xr:uid="{C5E54A06-1E63-49E5-B26D-7E76182FCE97}"/>
    <cellStyle name="Normal 2 4 2 3 13" xfId="10568" xr:uid="{D14B6B7F-7D3D-462E-A348-7A250B94333E}"/>
    <cellStyle name="Normal 2 4 2 3 2" xfId="285" xr:uid="{00000000-0005-0000-0000-0000E8010000}"/>
    <cellStyle name="Normal 2 4 2 3 2 10" xfId="2032" xr:uid="{0A5BE810-2B81-44EA-AEC3-01161098010E}"/>
    <cellStyle name="Normal 2 4 2 3 2 11" xfId="1203" xr:uid="{5ACB8AC4-73F3-4E96-AA84-53FEFF087E74}"/>
    <cellStyle name="Normal 2 4 2 3 2 12" xfId="10569" xr:uid="{2BB41224-DC7D-4C8F-A423-771BC1572DCB}"/>
    <cellStyle name="Normal 2 4 2 3 2 2" xfId="286" xr:uid="{00000000-0005-0000-0000-0000E9010000}"/>
    <cellStyle name="Normal 2 4 2 3 2 2 10" xfId="1204" xr:uid="{4B02B941-FBAC-4E3B-A3A6-B253DFACCEF1}"/>
    <cellStyle name="Normal 2 4 2 3 2 2 11" xfId="10570" xr:uid="{F9839F2C-B439-4B3B-A844-0C78AA067C28}"/>
    <cellStyle name="Normal 2 4 2 3 2 2 2" xfId="287" xr:uid="{00000000-0005-0000-0000-0000EA010000}"/>
    <cellStyle name="Normal 2 4 2 3 2 2 2 10" xfId="10571" xr:uid="{79ABEAAD-B127-4202-946F-2A7DA34D79A9}"/>
    <cellStyle name="Normal 2 4 2 3 2 2 2 2" xfId="783" xr:uid="{00000000-0005-0000-0000-0000EB010000}"/>
    <cellStyle name="Normal 2 4 2 3 2 2 2 2 2" xfId="4679" xr:uid="{99DB997A-B88C-4387-83F1-612AAF82B771}"/>
    <cellStyle name="Normal 2 4 2 3 2 2 2 2 2 2" xfId="8897" xr:uid="{9987470E-919E-46B1-B6B6-BE7F7205FC48}"/>
    <cellStyle name="Normal 2 4 2 3 2 2 2 2 3" xfId="6752" xr:uid="{B0BEC02D-2402-4769-AE06-73B7A9EB9652}"/>
    <cellStyle name="Normal 2 4 2 3 2 2 2 2 4" xfId="2450" xr:uid="{6EA792F8-2AA3-4E7A-B1A3-A4D27EF1C0AA}"/>
    <cellStyle name="Normal 2 4 2 3 2 2 2 2 5" xfId="1621" xr:uid="{1FDCC5AB-6A97-472D-8A9D-0D0ECDD15C18}"/>
    <cellStyle name="Normal 2 4 2 3 2 2 2 2 6" xfId="10987" xr:uid="{ECC28AF4-29F7-48EE-AA61-47F0DEF5AE3F}"/>
    <cellStyle name="Normal 2 4 2 3 2 2 2 3" xfId="2863" xr:uid="{BECDDE8E-DDC8-4B6F-B112-E6248A40D609}"/>
    <cellStyle name="Normal 2 4 2 3 2 2 2 3 2" xfId="5092" xr:uid="{508AB202-2B04-4F90-8EEB-4201140141B0}"/>
    <cellStyle name="Normal 2 4 2 3 2 2 2 3 2 2" xfId="9310" xr:uid="{12EEB3E4-3453-495D-9D9D-EA72A54CE1C2}"/>
    <cellStyle name="Normal 2 4 2 3 2 2 2 3 3" xfId="7165" xr:uid="{960A216E-60DD-450D-B39D-373DC505A6C6}"/>
    <cellStyle name="Normal 2 4 2 3 2 2 2 4" xfId="3276" xr:uid="{12E3E27F-A64A-4E0F-97C4-67B237F87984}"/>
    <cellStyle name="Normal 2 4 2 3 2 2 2 4 2" xfId="5505" xr:uid="{5E18C3CB-0982-4119-A9A7-5D4D6D051CE5}"/>
    <cellStyle name="Normal 2 4 2 3 2 2 2 4 2 2" xfId="9723" xr:uid="{61EE78A1-13D8-451B-B99C-85A17719AA68}"/>
    <cellStyle name="Normal 2 4 2 3 2 2 2 4 3" xfId="7578" xr:uid="{0B6ECC3A-67F0-494E-B2AF-73FAAB0135EA}"/>
    <cellStyle name="Normal 2 4 2 3 2 2 2 5" xfId="3689" xr:uid="{06850AAA-3C9C-48C7-8D8F-66BB1730C90F}"/>
    <cellStyle name="Normal 2 4 2 3 2 2 2 5 2" xfId="5918" xr:uid="{7700E698-B94A-4B10-A2AC-AFD8E1AE186E}"/>
    <cellStyle name="Normal 2 4 2 3 2 2 2 5 2 2" xfId="10136" xr:uid="{2E652F4D-4D8E-41C6-8F25-5F1F01C4CC73}"/>
    <cellStyle name="Normal 2 4 2 3 2 2 2 5 3" xfId="7991" xr:uid="{CB350490-793C-48DB-8068-7FECF3F7EDD0}"/>
    <cellStyle name="Normal 2 4 2 3 2 2 2 6" xfId="4125" xr:uid="{4F8DC841-D027-45BB-A17A-D9EA36862D9A}"/>
    <cellStyle name="Normal 2 4 2 3 2 2 2 6 2" xfId="8404" xr:uid="{A85245B2-8260-48DC-AE50-1EA24AD520CD}"/>
    <cellStyle name="Normal 2 4 2 3 2 2 2 7" xfId="6338" xr:uid="{3157CD12-C659-41EE-BF30-F6B885F033CA}"/>
    <cellStyle name="Normal 2 4 2 3 2 2 2 8" xfId="2034" xr:uid="{12C3BF2F-7C7B-402F-8A30-60FF00FA9535}"/>
    <cellStyle name="Normal 2 4 2 3 2 2 2 9" xfId="1205" xr:uid="{550E18EA-9322-4500-86B6-C5E32521EDC8}"/>
    <cellStyle name="Normal 2 4 2 3 2 2 3" xfId="782" xr:uid="{00000000-0005-0000-0000-0000EC010000}"/>
    <cellStyle name="Normal 2 4 2 3 2 2 3 2" xfId="4678" xr:uid="{54B933D2-78E1-438B-A793-F2D7F6C4DE8B}"/>
    <cellStyle name="Normal 2 4 2 3 2 2 3 2 2" xfId="8896" xr:uid="{42705861-8BDD-4631-8193-8A3B82986910}"/>
    <cellStyle name="Normal 2 4 2 3 2 2 3 3" xfId="6751" xr:uid="{DE2F2F51-7E5D-44C6-8D70-CE503DC9F4DD}"/>
    <cellStyle name="Normal 2 4 2 3 2 2 3 4" xfId="2449" xr:uid="{2F503ECF-F6EC-48EA-95FC-1439880E0BD0}"/>
    <cellStyle name="Normal 2 4 2 3 2 2 3 5" xfId="1620" xr:uid="{AEBA7F54-F49A-4D00-9FA9-808557B85AA2}"/>
    <cellStyle name="Normal 2 4 2 3 2 2 3 6" xfId="10986" xr:uid="{DBA68B68-4F2B-4ABD-AA17-4CA330D9B61B}"/>
    <cellStyle name="Normal 2 4 2 3 2 2 4" xfId="2862" xr:uid="{CAC8523F-257F-495D-951F-BB087F3DD76A}"/>
    <cellStyle name="Normal 2 4 2 3 2 2 4 2" xfId="5091" xr:uid="{76C9DBA1-D6EF-4D19-90BE-BE174975C4C1}"/>
    <cellStyle name="Normal 2 4 2 3 2 2 4 2 2" xfId="9309" xr:uid="{CEEA8505-3A4B-4629-85A2-BA19ADC98509}"/>
    <cellStyle name="Normal 2 4 2 3 2 2 4 3" xfId="7164" xr:uid="{9C0E154E-BF67-4E40-946D-E0D875BDC911}"/>
    <cellStyle name="Normal 2 4 2 3 2 2 5" xfId="3275" xr:uid="{1B2218B3-419F-424A-AE26-13D5572C813B}"/>
    <cellStyle name="Normal 2 4 2 3 2 2 5 2" xfId="5504" xr:uid="{9594E9F5-A06E-4E5F-B707-A87C70E3BF6C}"/>
    <cellStyle name="Normal 2 4 2 3 2 2 5 2 2" xfId="9722" xr:uid="{26345B19-32E6-4A35-9244-C2DAE70B692F}"/>
    <cellStyle name="Normal 2 4 2 3 2 2 5 3" xfId="7577" xr:uid="{B46CC263-08E9-44B6-B46B-117009877221}"/>
    <cellStyle name="Normal 2 4 2 3 2 2 6" xfId="3688" xr:uid="{ABE3F351-73E8-499A-AC38-BFD30575F829}"/>
    <cellStyle name="Normal 2 4 2 3 2 2 6 2" xfId="5917" xr:uid="{659730FE-A1C8-40DB-A43B-1DAFC2E10861}"/>
    <cellStyle name="Normal 2 4 2 3 2 2 6 2 2" xfId="10135" xr:uid="{9234BC29-944E-4A48-9B75-98730613AB03}"/>
    <cellStyle name="Normal 2 4 2 3 2 2 6 3" xfId="7990" xr:uid="{2054120E-C450-47F5-BF55-044E0E1F62A9}"/>
    <cellStyle name="Normal 2 4 2 3 2 2 7" xfId="4124" xr:uid="{9604C63B-588F-42C5-B8DE-7E7532C18ADE}"/>
    <cellStyle name="Normal 2 4 2 3 2 2 7 2" xfId="8403" xr:uid="{1451AEE8-80BB-4E00-AB04-956645EFB0C8}"/>
    <cellStyle name="Normal 2 4 2 3 2 2 8" xfId="6337" xr:uid="{069ED936-76C0-4484-9694-679F5811394A}"/>
    <cellStyle name="Normal 2 4 2 3 2 2 9" xfId="2033" xr:uid="{06F1C9B8-E5CF-4552-84A2-F3688DE47144}"/>
    <cellStyle name="Normal 2 4 2 3 2 3" xfId="288" xr:uid="{00000000-0005-0000-0000-0000ED010000}"/>
    <cellStyle name="Normal 2 4 2 3 2 3 10" xfId="10572" xr:uid="{BF69D56B-B780-4744-AA24-AFA2CC1D915F}"/>
    <cellStyle name="Normal 2 4 2 3 2 3 2" xfId="784" xr:uid="{00000000-0005-0000-0000-0000EE010000}"/>
    <cellStyle name="Normal 2 4 2 3 2 3 2 2" xfId="4680" xr:uid="{812A5121-1F67-4ABC-846E-AFBA0745F03E}"/>
    <cellStyle name="Normal 2 4 2 3 2 3 2 2 2" xfId="8898" xr:uid="{F3895585-987E-4012-8F03-D1F1E9FF50B1}"/>
    <cellStyle name="Normal 2 4 2 3 2 3 2 3" xfId="6753" xr:uid="{4724EB5F-FC06-4222-872B-54FACA46B9FD}"/>
    <cellStyle name="Normal 2 4 2 3 2 3 2 4" xfId="2451" xr:uid="{3F220B0A-1FB2-403A-9CD2-D93B9FFC258C}"/>
    <cellStyle name="Normal 2 4 2 3 2 3 2 5" xfId="1622" xr:uid="{5AE072AB-8651-4EFA-9F17-4A4BCAB13DCF}"/>
    <cellStyle name="Normal 2 4 2 3 2 3 2 6" xfId="10988" xr:uid="{BAA17823-8010-4A28-9C19-32C333BDBC60}"/>
    <cellStyle name="Normal 2 4 2 3 2 3 3" xfId="2864" xr:uid="{0F87212A-C87E-4DD3-92C3-2E9868A3E3CE}"/>
    <cellStyle name="Normal 2 4 2 3 2 3 3 2" xfId="5093" xr:uid="{B713AA78-D5CF-4442-8AA0-8BAFD634B4F6}"/>
    <cellStyle name="Normal 2 4 2 3 2 3 3 2 2" xfId="9311" xr:uid="{461A6C70-DBB6-457A-B734-94216B4B7B7E}"/>
    <cellStyle name="Normal 2 4 2 3 2 3 3 3" xfId="7166" xr:uid="{06674013-11C3-482B-A18C-6C9BD2B3A283}"/>
    <cellStyle name="Normal 2 4 2 3 2 3 4" xfId="3277" xr:uid="{FBC756C0-8653-4DB2-BD51-4EFE0706BB0C}"/>
    <cellStyle name="Normal 2 4 2 3 2 3 4 2" xfId="5506" xr:uid="{298799B2-5C0B-4A13-85C3-F6C4A2F84A1C}"/>
    <cellStyle name="Normal 2 4 2 3 2 3 4 2 2" xfId="9724" xr:uid="{446F779A-5C6B-45E5-8AA7-FBD7AEC40BD9}"/>
    <cellStyle name="Normal 2 4 2 3 2 3 4 3" xfId="7579" xr:uid="{496F340E-6E26-47AB-84AF-42D18770F2CD}"/>
    <cellStyle name="Normal 2 4 2 3 2 3 5" xfId="3690" xr:uid="{5E96390B-77D2-4E78-BC00-5A0CCF61F199}"/>
    <cellStyle name="Normal 2 4 2 3 2 3 5 2" xfId="5919" xr:uid="{D327D17B-61FF-4FBB-A275-5E78FE45A751}"/>
    <cellStyle name="Normal 2 4 2 3 2 3 5 2 2" xfId="10137" xr:uid="{DFCA05EB-BAFD-4294-9B1F-C76D15008A19}"/>
    <cellStyle name="Normal 2 4 2 3 2 3 5 3" xfId="7992" xr:uid="{1CEF9582-3609-4548-BA80-3E767C157D42}"/>
    <cellStyle name="Normal 2 4 2 3 2 3 6" xfId="4126" xr:uid="{FD38C0D5-AF0F-44E5-84A7-571D94D904F6}"/>
    <cellStyle name="Normal 2 4 2 3 2 3 6 2" xfId="8405" xr:uid="{8B6F7F88-27BF-4196-8CDA-4939421CB58C}"/>
    <cellStyle name="Normal 2 4 2 3 2 3 7" xfId="6339" xr:uid="{45B09C01-B917-42DD-A786-58E68DF38298}"/>
    <cellStyle name="Normal 2 4 2 3 2 3 8" xfId="2035" xr:uid="{7CCBF890-48D9-401D-8B26-1A36D487CF32}"/>
    <cellStyle name="Normal 2 4 2 3 2 3 9" xfId="1206" xr:uid="{10B4962E-17B6-4C6E-8462-6A76532C8AD1}"/>
    <cellStyle name="Normal 2 4 2 3 2 4" xfId="781" xr:uid="{00000000-0005-0000-0000-0000EF010000}"/>
    <cellStyle name="Normal 2 4 2 3 2 4 2" xfId="4677" xr:uid="{84A78831-4AAC-4F20-A85D-E27BE46EC788}"/>
    <cellStyle name="Normal 2 4 2 3 2 4 2 2" xfId="8895" xr:uid="{03AA25D4-9668-4F9A-985B-7B88AD35D538}"/>
    <cellStyle name="Normal 2 4 2 3 2 4 3" xfId="6750" xr:uid="{63B9B00D-CB7D-4D76-A885-B2E728AA939D}"/>
    <cellStyle name="Normal 2 4 2 3 2 4 4" xfId="2448" xr:uid="{F7252A5A-CFB0-4291-9FFA-DCF6CCE96021}"/>
    <cellStyle name="Normal 2 4 2 3 2 4 5" xfId="1619" xr:uid="{8E77D861-BDAB-4909-8BF8-D3DB879C91B0}"/>
    <cellStyle name="Normal 2 4 2 3 2 4 6" xfId="10985" xr:uid="{73F5A097-E5F5-4068-A160-40E82D42F6FE}"/>
    <cellStyle name="Normal 2 4 2 3 2 5" xfId="2861" xr:uid="{2FAE8723-AF4B-46A2-A7BF-B59F9693A195}"/>
    <cellStyle name="Normal 2 4 2 3 2 5 2" xfId="5090" xr:uid="{AD2D615B-B8ED-4FE1-BA17-00F33A75679D}"/>
    <cellStyle name="Normal 2 4 2 3 2 5 2 2" xfId="9308" xr:uid="{CD860DDE-51B4-45F8-90AC-015C5F75004A}"/>
    <cellStyle name="Normal 2 4 2 3 2 5 3" xfId="7163" xr:uid="{37A36D5D-8C42-472D-B54A-DC10308C1B2B}"/>
    <cellStyle name="Normal 2 4 2 3 2 6" xfId="3274" xr:uid="{1195B584-9E20-4A63-9A41-60EECAECA1CC}"/>
    <cellStyle name="Normal 2 4 2 3 2 6 2" xfId="5503" xr:uid="{BA363890-DD8F-4157-849E-B326B4E1701F}"/>
    <cellStyle name="Normal 2 4 2 3 2 6 2 2" xfId="9721" xr:uid="{B9BF76DA-1DAC-4201-912B-FF34908F5151}"/>
    <cellStyle name="Normal 2 4 2 3 2 6 3" xfId="7576" xr:uid="{EB4F595A-B81F-47DE-80C1-1432B302F4FF}"/>
    <cellStyle name="Normal 2 4 2 3 2 7" xfId="3687" xr:uid="{BEBC853D-5E90-4D51-B5DC-25D1D047DB26}"/>
    <cellStyle name="Normal 2 4 2 3 2 7 2" xfId="5916" xr:uid="{A40388C1-CDAF-4E46-8740-94832C4F419C}"/>
    <cellStyle name="Normal 2 4 2 3 2 7 2 2" xfId="10134" xr:uid="{B96CE590-8CE0-4D48-A581-E32742EA2CC6}"/>
    <cellStyle name="Normal 2 4 2 3 2 7 3" xfId="7989" xr:uid="{170C78A8-6A85-4A43-9D71-6147833D52C4}"/>
    <cellStyle name="Normal 2 4 2 3 2 8" xfId="4123" xr:uid="{00A9FC1F-6328-4A83-83C6-E40FAE16A148}"/>
    <cellStyle name="Normal 2 4 2 3 2 8 2" xfId="8402" xr:uid="{E2BDC86B-FDCA-4327-8A69-67E5ADD617FC}"/>
    <cellStyle name="Normal 2 4 2 3 2 9" xfId="6336" xr:uid="{F37F2574-8F02-42BB-A52B-55A6FFC03548}"/>
    <cellStyle name="Normal 2 4 2 3 3" xfId="289" xr:uid="{00000000-0005-0000-0000-0000F0010000}"/>
    <cellStyle name="Normal 2 4 2 3 3 10" xfId="1207" xr:uid="{2472B288-F5DD-49D6-940E-DD267DEA186D}"/>
    <cellStyle name="Normal 2 4 2 3 3 11" xfId="10573" xr:uid="{F3B6EBAF-9E29-498D-86DA-F824C7BD5FB2}"/>
    <cellStyle name="Normal 2 4 2 3 3 2" xfId="290" xr:uid="{00000000-0005-0000-0000-0000F1010000}"/>
    <cellStyle name="Normal 2 4 2 3 3 2 10" xfId="10574" xr:uid="{A4750E7A-EA3C-4FD3-9020-74C5607EE5A4}"/>
    <cellStyle name="Normal 2 4 2 3 3 2 2" xfId="786" xr:uid="{00000000-0005-0000-0000-0000F2010000}"/>
    <cellStyle name="Normal 2 4 2 3 3 2 2 2" xfId="4682" xr:uid="{0D0177E4-9146-4146-B929-FF392558978C}"/>
    <cellStyle name="Normal 2 4 2 3 3 2 2 2 2" xfId="8900" xr:uid="{745373B8-123D-41CD-9D15-292E468258BB}"/>
    <cellStyle name="Normal 2 4 2 3 3 2 2 3" xfId="6755" xr:uid="{CE9003B8-B83C-44EC-BB65-DC7D6794C98D}"/>
    <cellStyle name="Normal 2 4 2 3 3 2 2 4" xfId="2453" xr:uid="{F3B7D851-B2F3-44CE-86E7-6F6237171D38}"/>
    <cellStyle name="Normal 2 4 2 3 3 2 2 5" xfId="1624" xr:uid="{F78C21F5-62D7-499C-AF95-1711863AF507}"/>
    <cellStyle name="Normal 2 4 2 3 3 2 2 6" xfId="10990" xr:uid="{881F808C-52B0-4A59-984C-3FD57575EEFE}"/>
    <cellStyle name="Normal 2 4 2 3 3 2 3" xfId="2866" xr:uid="{7F8C3D9C-1C21-42C7-B5C6-ABCF316AF276}"/>
    <cellStyle name="Normal 2 4 2 3 3 2 3 2" xfId="5095" xr:uid="{45268065-8939-49FE-A1E5-F14C183EAB49}"/>
    <cellStyle name="Normal 2 4 2 3 3 2 3 2 2" xfId="9313" xr:uid="{354A11F5-7B62-4383-A77A-B02681BBE533}"/>
    <cellStyle name="Normal 2 4 2 3 3 2 3 3" xfId="7168" xr:uid="{EADDE32F-7E46-47F0-B463-4A43775BD91A}"/>
    <cellStyle name="Normal 2 4 2 3 3 2 4" xfId="3279" xr:uid="{BB510E4E-ECCB-491D-8F51-856757641140}"/>
    <cellStyle name="Normal 2 4 2 3 3 2 4 2" xfId="5508" xr:uid="{6AB08E19-1047-4DEA-8361-A37736A46842}"/>
    <cellStyle name="Normal 2 4 2 3 3 2 4 2 2" xfId="9726" xr:uid="{28C2083A-EF64-444E-A0D1-D6482A85FD66}"/>
    <cellStyle name="Normal 2 4 2 3 3 2 4 3" xfId="7581" xr:uid="{894E3EC9-10A2-4D3F-9D52-CADF4154326C}"/>
    <cellStyle name="Normal 2 4 2 3 3 2 5" xfId="3692" xr:uid="{6420C89B-5EE1-4EC3-A55A-7DADA16E7024}"/>
    <cellStyle name="Normal 2 4 2 3 3 2 5 2" xfId="5921" xr:uid="{FFF0D8A8-F3A5-42F7-B52A-9FE1ECFF9355}"/>
    <cellStyle name="Normal 2 4 2 3 3 2 5 2 2" xfId="10139" xr:uid="{98BEE847-0BBB-4D40-9ADF-98BD1E735F56}"/>
    <cellStyle name="Normal 2 4 2 3 3 2 5 3" xfId="7994" xr:uid="{35E162A1-F81E-41BF-981F-D8662D90226E}"/>
    <cellStyle name="Normal 2 4 2 3 3 2 6" xfId="4128" xr:uid="{B8CE1182-35A1-44BF-B96E-A2F037E7533B}"/>
    <cellStyle name="Normal 2 4 2 3 3 2 6 2" xfId="8407" xr:uid="{9228205C-D754-4A95-AE0C-521266CA4CBF}"/>
    <cellStyle name="Normal 2 4 2 3 3 2 7" xfId="6341" xr:uid="{854D9920-8041-4657-AA9E-FC8B1D00A2FC}"/>
    <cellStyle name="Normal 2 4 2 3 3 2 8" xfId="2037" xr:uid="{804E0BDD-DC97-4128-9022-5E0FC7795A82}"/>
    <cellStyle name="Normal 2 4 2 3 3 2 9" xfId="1208" xr:uid="{879B1C5E-3963-4113-B904-9CF472DE1494}"/>
    <cellStyle name="Normal 2 4 2 3 3 3" xfId="785" xr:uid="{00000000-0005-0000-0000-0000F3010000}"/>
    <cellStyle name="Normal 2 4 2 3 3 3 2" xfId="4681" xr:uid="{CD500269-5383-4524-931E-7DC977EB9F7C}"/>
    <cellStyle name="Normal 2 4 2 3 3 3 2 2" xfId="8899" xr:uid="{48A7FE23-14CB-49A7-84C6-232276A8A400}"/>
    <cellStyle name="Normal 2 4 2 3 3 3 3" xfId="6754" xr:uid="{9E872AC1-23C3-40C8-8DFA-9BD4835D3AE2}"/>
    <cellStyle name="Normal 2 4 2 3 3 3 4" xfId="2452" xr:uid="{26F2A2F0-FB42-49B3-9145-A8D3E46E16FD}"/>
    <cellStyle name="Normal 2 4 2 3 3 3 5" xfId="1623" xr:uid="{26BA282A-9510-4D81-B939-63A4059154F8}"/>
    <cellStyle name="Normal 2 4 2 3 3 3 6" xfId="10989" xr:uid="{D7803335-C492-47F2-AEE7-3744C28F2F90}"/>
    <cellStyle name="Normal 2 4 2 3 3 4" xfId="2865" xr:uid="{30EDEF55-2FF7-4AF0-B491-B3DE0578D64D}"/>
    <cellStyle name="Normal 2 4 2 3 3 4 2" xfId="5094" xr:uid="{1E75E7D4-A01E-4C1B-981F-A064F0069B34}"/>
    <cellStyle name="Normal 2 4 2 3 3 4 2 2" xfId="9312" xr:uid="{70B35E49-7BE4-487A-B1D8-CE11385B195B}"/>
    <cellStyle name="Normal 2 4 2 3 3 4 3" xfId="7167" xr:uid="{C2C7E319-A0E4-4917-BBE4-19A9A102102E}"/>
    <cellStyle name="Normal 2 4 2 3 3 5" xfId="3278" xr:uid="{31FCECAB-5456-4A46-866C-8BD7C74778D8}"/>
    <cellStyle name="Normal 2 4 2 3 3 5 2" xfId="5507" xr:uid="{1AB71526-8306-4E1B-A2FE-DB5D5380A191}"/>
    <cellStyle name="Normal 2 4 2 3 3 5 2 2" xfId="9725" xr:uid="{7EE1D08E-F0AB-47FC-B683-DDD3B85ABFC8}"/>
    <cellStyle name="Normal 2 4 2 3 3 5 3" xfId="7580" xr:uid="{1C18B9E6-DE83-44F7-A0E7-FFC65E327294}"/>
    <cellStyle name="Normal 2 4 2 3 3 6" xfId="3691" xr:uid="{D0CFC2C3-EEA8-4C7B-A326-D3C4A8816DE9}"/>
    <cellStyle name="Normal 2 4 2 3 3 6 2" xfId="5920" xr:uid="{1620E238-92F5-4AD9-B083-75E36200C444}"/>
    <cellStyle name="Normal 2 4 2 3 3 6 2 2" xfId="10138" xr:uid="{0DA16B43-A7BD-4902-9312-2FF1534F965D}"/>
    <cellStyle name="Normal 2 4 2 3 3 6 3" xfId="7993" xr:uid="{18ADA759-AD13-43E0-A51A-9CB3B4244C62}"/>
    <cellStyle name="Normal 2 4 2 3 3 7" xfId="4127" xr:uid="{2A446309-F967-4E0D-A446-D27C03BAAE27}"/>
    <cellStyle name="Normal 2 4 2 3 3 7 2" xfId="8406" xr:uid="{A3416642-69BC-401C-B5AD-D56B66ECE019}"/>
    <cellStyle name="Normal 2 4 2 3 3 8" xfId="6340" xr:uid="{16472107-9D61-4C34-B0CE-6C1F755994FE}"/>
    <cellStyle name="Normal 2 4 2 3 3 9" xfId="2036" xr:uid="{E12F9FA8-0C50-433A-B916-2DAFEC5F6F46}"/>
    <cellStyle name="Normal 2 4 2 3 4" xfId="291" xr:uid="{00000000-0005-0000-0000-0000F4010000}"/>
    <cellStyle name="Normal 2 4 2 3 4 10" xfId="10575" xr:uid="{A132990B-58A0-4C8C-ADEE-61835BAA3B67}"/>
    <cellStyle name="Normal 2 4 2 3 4 2" xfId="787" xr:uid="{00000000-0005-0000-0000-0000F5010000}"/>
    <cellStyle name="Normal 2 4 2 3 4 2 2" xfId="4683" xr:uid="{AD61B726-CE2B-4D2E-9DD3-2D1D1366F80E}"/>
    <cellStyle name="Normal 2 4 2 3 4 2 2 2" xfId="8901" xr:uid="{9F0C5CB0-4304-41EC-93B0-39720FB0A451}"/>
    <cellStyle name="Normal 2 4 2 3 4 2 3" xfId="6756" xr:uid="{2B4526E7-48EE-4E33-88F5-567650BEFC4D}"/>
    <cellStyle name="Normal 2 4 2 3 4 2 4" xfId="2454" xr:uid="{0513FE1B-1E64-44D5-A3FF-4F05F6811475}"/>
    <cellStyle name="Normal 2 4 2 3 4 2 5" xfId="1625" xr:uid="{F31577F1-8BF1-4B18-B2C6-A4EBCB187FEE}"/>
    <cellStyle name="Normal 2 4 2 3 4 2 6" xfId="10991" xr:uid="{63E49CC4-F1BA-4707-BB97-615CB5D4102A}"/>
    <cellStyle name="Normal 2 4 2 3 4 3" xfId="2867" xr:uid="{17875263-EC56-4E8D-B644-502D9C521185}"/>
    <cellStyle name="Normal 2 4 2 3 4 3 2" xfId="5096" xr:uid="{ECC9B250-BFF9-4003-B433-FE986DBAB1E4}"/>
    <cellStyle name="Normal 2 4 2 3 4 3 2 2" xfId="9314" xr:uid="{07286CF8-232F-4B80-8713-F683C596A165}"/>
    <cellStyle name="Normal 2 4 2 3 4 3 3" xfId="7169" xr:uid="{6037244C-633B-4305-AA25-0897F8CA9179}"/>
    <cellStyle name="Normal 2 4 2 3 4 4" xfId="3280" xr:uid="{EC009B3B-F6E4-46D8-8A79-26C5730F24C9}"/>
    <cellStyle name="Normal 2 4 2 3 4 4 2" xfId="5509" xr:uid="{CC1B875A-82CF-4B32-8136-28F49A7E0794}"/>
    <cellStyle name="Normal 2 4 2 3 4 4 2 2" xfId="9727" xr:uid="{79D7CEAC-C8AA-4499-9ABF-F8C844604B25}"/>
    <cellStyle name="Normal 2 4 2 3 4 4 3" xfId="7582" xr:uid="{3854206A-E824-4907-9867-65D65E149905}"/>
    <cellStyle name="Normal 2 4 2 3 4 5" xfId="3693" xr:uid="{C73E1D9A-1A44-4CC9-815C-36E04BDF2D93}"/>
    <cellStyle name="Normal 2 4 2 3 4 5 2" xfId="5922" xr:uid="{0316772B-4058-4D10-AF00-15DAFCB13EA5}"/>
    <cellStyle name="Normal 2 4 2 3 4 5 2 2" xfId="10140" xr:uid="{AAFB5AEA-EA17-43CD-ADC7-84912D7B88BB}"/>
    <cellStyle name="Normal 2 4 2 3 4 5 3" xfId="7995" xr:uid="{27537656-8937-4295-8C6E-9D6774F00BC4}"/>
    <cellStyle name="Normal 2 4 2 3 4 6" xfId="4129" xr:uid="{BDE1B0ED-0C56-46CA-A4BA-B21E3215963B}"/>
    <cellStyle name="Normal 2 4 2 3 4 6 2" xfId="8408" xr:uid="{FCDE1DAC-D88A-4252-B024-8CA3BE47CC0D}"/>
    <cellStyle name="Normal 2 4 2 3 4 7" xfId="6342" xr:uid="{32260289-15C5-45C8-999D-07F55F1A0C74}"/>
    <cellStyle name="Normal 2 4 2 3 4 8" xfId="2038" xr:uid="{41987F60-EE82-4202-8772-3EEB3765BE9F}"/>
    <cellStyle name="Normal 2 4 2 3 4 9" xfId="1209" xr:uid="{E882854B-4D7C-4CC6-8AB6-A007DC6B10EB}"/>
    <cellStyle name="Normal 2 4 2 3 5" xfId="780" xr:uid="{00000000-0005-0000-0000-0000F6010000}"/>
    <cellStyle name="Normal 2 4 2 3 5 2" xfId="4676" xr:uid="{F3978E6C-D3F1-43B4-B33F-07625409AFF6}"/>
    <cellStyle name="Normal 2 4 2 3 5 2 2" xfId="8894" xr:uid="{41EEE974-8474-499C-B1A6-29B91D9EF341}"/>
    <cellStyle name="Normal 2 4 2 3 5 3" xfId="6749" xr:uid="{9070919B-51C7-4B69-AE23-8B131506A7D7}"/>
    <cellStyle name="Normal 2 4 2 3 5 4" xfId="2447" xr:uid="{98F9EADC-0EEE-4A90-8965-8CE101BA07D4}"/>
    <cellStyle name="Normal 2 4 2 3 5 5" xfId="1618" xr:uid="{6D3F1691-EAE7-41EB-9DF6-248057DA6537}"/>
    <cellStyle name="Normal 2 4 2 3 5 6" xfId="10984" xr:uid="{E3E18C83-8843-4BED-A5EA-DDCFD6250CC4}"/>
    <cellStyle name="Normal 2 4 2 3 6" xfId="2860" xr:uid="{D84E16AA-2373-4E53-8048-B351481479E7}"/>
    <cellStyle name="Normal 2 4 2 3 6 2" xfId="5089" xr:uid="{77D4B7C2-D77C-4637-81F6-77E186966C2E}"/>
    <cellStyle name="Normal 2 4 2 3 6 2 2" xfId="9307" xr:uid="{A4037D61-2D03-4D54-BABB-E650256B0966}"/>
    <cellStyle name="Normal 2 4 2 3 6 3" xfId="7162" xr:uid="{2C82D3AD-85DA-4B45-9E5C-7CD954DDC6FF}"/>
    <cellStyle name="Normal 2 4 2 3 7" xfId="3273" xr:uid="{D831E294-DD45-4DF2-B19D-93572467A582}"/>
    <cellStyle name="Normal 2 4 2 3 7 2" xfId="5502" xr:uid="{7416342E-5B8F-4B78-B4E0-BCF74E0516FE}"/>
    <cellStyle name="Normal 2 4 2 3 7 2 2" xfId="9720" xr:uid="{FB7C22F2-04AA-4459-BF3D-16A6D08B3033}"/>
    <cellStyle name="Normal 2 4 2 3 7 3" xfId="7575" xr:uid="{4A26750D-6B1D-4E44-988F-99D3C27BAAB7}"/>
    <cellStyle name="Normal 2 4 2 3 8" xfId="3686" xr:uid="{B787A564-B6AC-4A41-84AB-1B5E8BCF41B4}"/>
    <cellStyle name="Normal 2 4 2 3 8 2" xfId="5915" xr:uid="{E36447B4-B0C7-4399-BD4C-E46D42C2021D}"/>
    <cellStyle name="Normal 2 4 2 3 8 2 2" xfId="10133" xr:uid="{57AE731E-FB64-471F-95CD-417D91DC17D9}"/>
    <cellStyle name="Normal 2 4 2 3 8 3" xfId="7988" xr:uid="{E4828C7F-6398-471D-AEA0-2E9F3E2B3F62}"/>
    <cellStyle name="Normal 2 4 2 3 9" xfId="4122" xr:uid="{A789A900-0E75-4CA9-9CA1-CEF9D4711085}"/>
    <cellStyle name="Normal 2 4 2 3 9 2" xfId="8401" xr:uid="{117A6D51-42FC-4D52-BDE4-7DC32C7804C6}"/>
    <cellStyle name="Normal 2 4 2 4" xfId="292" xr:uid="{00000000-0005-0000-0000-0000F7010000}"/>
    <cellStyle name="Normal 2 4 2 4 10" xfId="2039" xr:uid="{FC30F094-B0EC-4227-A49F-CE5D0F7746E2}"/>
    <cellStyle name="Normal 2 4 2 4 11" xfId="1210" xr:uid="{3676076A-7B80-4C7A-A861-BDC66A89A0CC}"/>
    <cellStyle name="Normal 2 4 2 4 12" xfId="10576" xr:uid="{552099D5-EAA9-4B47-9051-32B0CEC6E2C5}"/>
    <cellStyle name="Normal 2 4 2 4 2" xfId="293" xr:uid="{00000000-0005-0000-0000-0000F8010000}"/>
    <cellStyle name="Normal 2 4 2 4 2 10" xfId="1211" xr:uid="{5FDB0F43-DFDC-4B4D-9D4D-43D6325FB3E3}"/>
    <cellStyle name="Normal 2 4 2 4 2 11" xfId="10577" xr:uid="{14E2A0FD-FB98-4D8B-A71B-C36F19F559E1}"/>
    <cellStyle name="Normal 2 4 2 4 2 2" xfId="294" xr:uid="{00000000-0005-0000-0000-0000F9010000}"/>
    <cellStyle name="Normal 2 4 2 4 2 2 10" xfId="10578" xr:uid="{268B7E27-F525-402E-AED0-8C647F10B21D}"/>
    <cellStyle name="Normal 2 4 2 4 2 2 2" xfId="790" xr:uid="{00000000-0005-0000-0000-0000FA010000}"/>
    <cellStyle name="Normal 2 4 2 4 2 2 2 2" xfId="4686" xr:uid="{C827FF7C-7D30-4EBF-A61B-B404A15B6AAB}"/>
    <cellStyle name="Normal 2 4 2 4 2 2 2 2 2" xfId="8904" xr:uid="{E5EDBFDD-6BBE-4B77-A00F-9B6FF45CC37F}"/>
    <cellStyle name="Normal 2 4 2 4 2 2 2 3" xfId="6759" xr:uid="{8CC0DEB8-B294-4B2E-8676-FEAD91AC7305}"/>
    <cellStyle name="Normal 2 4 2 4 2 2 2 4" xfId="2457" xr:uid="{E9295994-6776-49BE-A890-F5B7D1B6D9C9}"/>
    <cellStyle name="Normal 2 4 2 4 2 2 2 5" xfId="1628" xr:uid="{017CAF0A-A802-44CC-88B4-F3F629110C76}"/>
    <cellStyle name="Normal 2 4 2 4 2 2 2 6" xfId="10994" xr:uid="{487C603C-C14D-4C38-9148-9E63B36721E1}"/>
    <cellStyle name="Normal 2 4 2 4 2 2 3" xfId="2870" xr:uid="{4E93FCFD-4ABB-447A-A89B-C18E6B8DE562}"/>
    <cellStyle name="Normal 2 4 2 4 2 2 3 2" xfId="5099" xr:uid="{B1F4965C-2340-4CAD-A676-E4069CDD08A5}"/>
    <cellStyle name="Normal 2 4 2 4 2 2 3 2 2" xfId="9317" xr:uid="{85DFA463-B311-4574-817A-D2EBA8E93100}"/>
    <cellStyle name="Normal 2 4 2 4 2 2 3 3" xfId="7172" xr:uid="{8FE34899-C0CD-4049-BA3D-2758E506E277}"/>
    <cellStyle name="Normal 2 4 2 4 2 2 4" xfId="3283" xr:uid="{2BF91F11-A491-446F-9E6A-D5BF2AB2A143}"/>
    <cellStyle name="Normal 2 4 2 4 2 2 4 2" xfId="5512" xr:uid="{E33309E3-A023-4FE7-923D-433BA704FAD4}"/>
    <cellStyle name="Normal 2 4 2 4 2 2 4 2 2" xfId="9730" xr:uid="{88D85F15-8BB9-46F8-8400-79A954B34E9E}"/>
    <cellStyle name="Normal 2 4 2 4 2 2 4 3" xfId="7585" xr:uid="{47EE25B5-6150-495A-B00B-792DB65A7E66}"/>
    <cellStyle name="Normal 2 4 2 4 2 2 5" xfId="3696" xr:uid="{A0275BAC-9CD0-4A0B-9E4E-DBF51AAC798F}"/>
    <cellStyle name="Normal 2 4 2 4 2 2 5 2" xfId="5925" xr:uid="{AC560B0E-825F-4B9D-BEF4-90D44E69FF93}"/>
    <cellStyle name="Normal 2 4 2 4 2 2 5 2 2" xfId="10143" xr:uid="{AB1BD9B0-54E5-4746-9AAE-4BB4B6813C7B}"/>
    <cellStyle name="Normal 2 4 2 4 2 2 5 3" xfId="7998" xr:uid="{86032E9A-DA0D-4B80-B093-BF6BBA0700E9}"/>
    <cellStyle name="Normal 2 4 2 4 2 2 6" xfId="4132" xr:uid="{F9333B61-3F86-43E7-A012-1E27CFA84339}"/>
    <cellStyle name="Normal 2 4 2 4 2 2 6 2" xfId="8411" xr:uid="{5635FDC5-9C99-4093-AD1B-4F13C7AD38D4}"/>
    <cellStyle name="Normal 2 4 2 4 2 2 7" xfId="6345" xr:uid="{6B5EBD46-A8AF-41AE-8B30-7006A52F4392}"/>
    <cellStyle name="Normal 2 4 2 4 2 2 8" xfId="2041" xr:uid="{CB9E4AC5-14DB-4D07-9309-FC185670E3F7}"/>
    <cellStyle name="Normal 2 4 2 4 2 2 9" xfId="1212" xr:uid="{BED523EA-B853-4853-9D88-5E5306F9102D}"/>
    <cellStyle name="Normal 2 4 2 4 2 3" xfId="789" xr:uid="{00000000-0005-0000-0000-0000FB010000}"/>
    <cellStyle name="Normal 2 4 2 4 2 3 2" xfId="4685" xr:uid="{0C58482F-328E-4B43-A182-B248ED621B6F}"/>
    <cellStyle name="Normal 2 4 2 4 2 3 2 2" xfId="8903" xr:uid="{E7919966-503A-40E3-B3E4-257611115DC5}"/>
    <cellStyle name="Normal 2 4 2 4 2 3 3" xfId="6758" xr:uid="{FDF12B33-6F7E-487D-B54D-5E3F34FCEBA1}"/>
    <cellStyle name="Normal 2 4 2 4 2 3 4" xfId="2456" xr:uid="{0E31E7B8-E2DF-449D-B9E9-4BB57ED86BF5}"/>
    <cellStyle name="Normal 2 4 2 4 2 3 5" xfId="1627" xr:uid="{7F8E1935-4E39-4ACB-981F-39B9C9195AF3}"/>
    <cellStyle name="Normal 2 4 2 4 2 3 6" xfId="10993" xr:uid="{BE33BFFF-B379-455C-9E88-BD87641AA8AE}"/>
    <cellStyle name="Normal 2 4 2 4 2 4" xfId="2869" xr:uid="{0A73D163-8250-46B8-A4B1-BFD733E0975A}"/>
    <cellStyle name="Normal 2 4 2 4 2 4 2" xfId="5098" xr:uid="{6347CA0C-4B45-4FA0-9ECC-7F912ADD5E71}"/>
    <cellStyle name="Normal 2 4 2 4 2 4 2 2" xfId="9316" xr:uid="{012A3CF1-E997-4C63-96E9-43E4A61FEE8A}"/>
    <cellStyle name="Normal 2 4 2 4 2 4 3" xfId="7171" xr:uid="{85CF7790-295F-4332-8F5D-8002246BD3A8}"/>
    <cellStyle name="Normal 2 4 2 4 2 5" xfId="3282" xr:uid="{39DBD897-A49C-46AA-828F-E6CF1D3058EB}"/>
    <cellStyle name="Normal 2 4 2 4 2 5 2" xfId="5511" xr:uid="{3B49A373-BA6E-4A3C-A8D3-F6D5B49FDE50}"/>
    <cellStyle name="Normal 2 4 2 4 2 5 2 2" xfId="9729" xr:uid="{248ECDA3-9163-43BA-9BBF-A15B636F55CD}"/>
    <cellStyle name="Normal 2 4 2 4 2 5 3" xfId="7584" xr:uid="{DD4362FA-CC27-4377-98B2-3A0891173B9C}"/>
    <cellStyle name="Normal 2 4 2 4 2 6" xfId="3695" xr:uid="{33CF0708-BF17-4C0F-85E2-8A563550F64A}"/>
    <cellStyle name="Normal 2 4 2 4 2 6 2" xfId="5924" xr:uid="{DDA6B2D1-F7F0-4453-B47A-B68348CC6251}"/>
    <cellStyle name="Normal 2 4 2 4 2 6 2 2" xfId="10142" xr:uid="{7BE2CD67-327F-4D59-92A1-1F91E02DF323}"/>
    <cellStyle name="Normal 2 4 2 4 2 6 3" xfId="7997" xr:uid="{0D9DC24A-7129-476E-854D-A4A9B205548F}"/>
    <cellStyle name="Normal 2 4 2 4 2 7" xfId="4131" xr:uid="{FB88FCE3-E044-4D88-942B-D651829041D1}"/>
    <cellStyle name="Normal 2 4 2 4 2 7 2" xfId="8410" xr:uid="{A1999F52-D8E1-4609-935F-6155CF2D85F7}"/>
    <cellStyle name="Normal 2 4 2 4 2 8" xfId="6344" xr:uid="{53CA99D0-97E8-41EF-A56C-6460916BC340}"/>
    <cellStyle name="Normal 2 4 2 4 2 9" xfId="2040" xr:uid="{D2C552F0-7A5A-4639-82C1-F43BF0D0F513}"/>
    <cellStyle name="Normal 2 4 2 4 3" xfId="295" xr:uid="{00000000-0005-0000-0000-0000FC010000}"/>
    <cellStyle name="Normal 2 4 2 4 3 10" xfId="10579" xr:uid="{35B41F92-AFB8-4D53-B749-CD4353940400}"/>
    <cellStyle name="Normal 2 4 2 4 3 2" xfId="791" xr:uid="{00000000-0005-0000-0000-0000FD010000}"/>
    <cellStyle name="Normal 2 4 2 4 3 2 2" xfId="4687" xr:uid="{50EBE32B-8B96-442C-8D76-1EC2E29FF75F}"/>
    <cellStyle name="Normal 2 4 2 4 3 2 2 2" xfId="8905" xr:uid="{15379F4C-042F-406A-874E-C2D5E9B2071C}"/>
    <cellStyle name="Normal 2 4 2 4 3 2 3" xfId="6760" xr:uid="{92AE718D-0071-4CBD-A99D-9FA9B7267D24}"/>
    <cellStyle name="Normal 2 4 2 4 3 2 4" xfId="2458" xr:uid="{A56FE98C-B816-49C6-AE9A-8AEC730CAC46}"/>
    <cellStyle name="Normal 2 4 2 4 3 2 5" xfId="1629" xr:uid="{9A2F1E27-96CA-4149-B45E-C49399C9A8C2}"/>
    <cellStyle name="Normal 2 4 2 4 3 2 6" xfId="10995" xr:uid="{5C613F7C-C7D3-4F0D-BFFC-0FC98A4A1560}"/>
    <cellStyle name="Normal 2 4 2 4 3 3" xfId="2871" xr:uid="{0A3D9500-B4B6-475A-923A-0ED113EF4837}"/>
    <cellStyle name="Normal 2 4 2 4 3 3 2" xfId="5100" xr:uid="{F56D2BB1-47E1-48A6-A696-99007E9EBF08}"/>
    <cellStyle name="Normal 2 4 2 4 3 3 2 2" xfId="9318" xr:uid="{852625DA-4BC5-485D-B0AC-57385C123311}"/>
    <cellStyle name="Normal 2 4 2 4 3 3 3" xfId="7173" xr:uid="{8B2C3910-ED1B-4599-92E0-202F4CBA70A2}"/>
    <cellStyle name="Normal 2 4 2 4 3 4" xfId="3284" xr:uid="{C7126B2A-0CFD-44C9-B154-8A4438FD152A}"/>
    <cellStyle name="Normal 2 4 2 4 3 4 2" xfId="5513" xr:uid="{E5C87176-572C-43AE-88E3-00E6CAC1512A}"/>
    <cellStyle name="Normal 2 4 2 4 3 4 2 2" xfId="9731" xr:uid="{A0586773-C93B-4C31-8302-03698C436E2D}"/>
    <cellStyle name="Normal 2 4 2 4 3 4 3" xfId="7586" xr:uid="{EE015F72-3EB0-486B-8758-78AE81DE80C1}"/>
    <cellStyle name="Normal 2 4 2 4 3 5" xfId="3697" xr:uid="{B9CEA3ED-7802-445E-9C81-D0447BD3BFD5}"/>
    <cellStyle name="Normal 2 4 2 4 3 5 2" xfId="5926" xr:uid="{6AC84AD5-6C5D-4AFD-8844-4EC1AF4D0927}"/>
    <cellStyle name="Normal 2 4 2 4 3 5 2 2" xfId="10144" xr:uid="{214B602F-681A-4CF9-9FC6-588E2D45F960}"/>
    <cellStyle name="Normal 2 4 2 4 3 5 3" xfId="7999" xr:uid="{3900A769-EB35-4C23-9E53-E0701CDF0BB8}"/>
    <cellStyle name="Normal 2 4 2 4 3 6" xfId="4133" xr:uid="{C705F989-D3B4-441B-99C0-5DF65FBD777E}"/>
    <cellStyle name="Normal 2 4 2 4 3 6 2" xfId="8412" xr:uid="{94F6676C-F761-4A17-9457-42752E8196FA}"/>
    <cellStyle name="Normal 2 4 2 4 3 7" xfId="6346" xr:uid="{266E74BF-1304-4CE4-A6E4-01664757463A}"/>
    <cellStyle name="Normal 2 4 2 4 3 8" xfId="2042" xr:uid="{6089029A-6F52-4ECD-8037-9CCC41997396}"/>
    <cellStyle name="Normal 2 4 2 4 3 9" xfId="1213" xr:uid="{C04E83ED-9892-4B0B-BC12-0F7C8D985C80}"/>
    <cellStyle name="Normal 2 4 2 4 4" xfId="788" xr:uid="{00000000-0005-0000-0000-0000FE010000}"/>
    <cellStyle name="Normal 2 4 2 4 4 2" xfId="4684" xr:uid="{8A2A6C8F-22FC-4A28-9270-6976668ACE17}"/>
    <cellStyle name="Normal 2 4 2 4 4 2 2" xfId="8902" xr:uid="{511B1322-42FB-4BB3-BA5F-9CB4E3F1F710}"/>
    <cellStyle name="Normal 2 4 2 4 4 3" xfId="6757" xr:uid="{98E91630-B51C-4192-ABFB-F23EBA37979D}"/>
    <cellStyle name="Normal 2 4 2 4 4 4" xfId="2455" xr:uid="{C0C52154-893B-44E5-ABAE-C4E4DE057D1A}"/>
    <cellStyle name="Normal 2 4 2 4 4 5" xfId="1626" xr:uid="{677DF678-A5DA-4ED8-A7EA-2868753D436F}"/>
    <cellStyle name="Normal 2 4 2 4 4 6" xfId="10992" xr:uid="{C5C837A7-CE87-4737-8B9E-6653AA1F3C1A}"/>
    <cellStyle name="Normal 2 4 2 4 5" xfId="2868" xr:uid="{1EBA2ABC-FDE0-4F9C-98A8-BDC9B01BEC13}"/>
    <cellStyle name="Normal 2 4 2 4 5 2" xfId="5097" xr:uid="{EE014116-F10E-4F85-A192-2268157AD050}"/>
    <cellStyle name="Normal 2 4 2 4 5 2 2" xfId="9315" xr:uid="{61515073-9C48-4946-9DD1-43DDBB34751C}"/>
    <cellStyle name="Normal 2 4 2 4 5 3" xfId="7170" xr:uid="{1393BDD3-B0F3-4094-B94E-4A1F2EB167FA}"/>
    <cellStyle name="Normal 2 4 2 4 6" xfId="3281" xr:uid="{2DC5E211-F2FA-4979-8E14-18CCB9A4A395}"/>
    <cellStyle name="Normal 2 4 2 4 6 2" xfId="5510" xr:uid="{0FD88C8A-1D98-4AF3-98E2-236D51FCC902}"/>
    <cellStyle name="Normal 2 4 2 4 6 2 2" xfId="9728" xr:uid="{9CDB6E4E-8D2A-45FF-ACD3-70F5AB60F693}"/>
    <cellStyle name="Normal 2 4 2 4 6 3" xfId="7583" xr:uid="{FC453171-E7D1-4EBD-A305-BA1317C24755}"/>
    <cellStyle name="Normal 2 4 2 4 7" xfId="3694" xr:uid="{4FA35C53-D7A7-4438-9EB1-6EE1BE565057}"/>
    <cellStyle name="Normal 2 4 2 4 7 2" xfId="5923" xr:uid="{310645F4-0701-4AF4-94F4-4F1DA4CF8DC3}"/>
    <cellStyle name="Normal 2 4 2 4 7 2 2" xfId="10141" xr:uid="{3E16E7BB-7D6F-42C4-BA0A-4E3EE47D7533}"/>
    <cellStyle name="Normal 2 4 2 4 7 3" xfId="7996" xr:uid="{DF80AE11-01A6-4AE4-A53E-F97AAD708207}"/>
    <cellStyle name="Normal 2 4 2 4 8" xfId="4130" xr:uid="{5689C2EC-6468-42CB-8055-7B779B2E5C8B}"/>
    <cellStyle name="Normal 2 4 2 4 8 2" xfId="8409" xr:uid="{CFDB38AD-61F5-4FDA-AC35-0F9D618178FD}"/>
    <cellStyle name="Normal 2 4 2 4 9" xfId="6343" xr:uid="{C5E806AB-AD47-4BEA-8A10-3F48CC9D7BD0}"/>
    <cellStyle name="Normal 2 4 2 5" xfId="296" xr:uid="{00000000-0005-0000-0000-0000FF010000}"/>
    <cellStyle name="Normal 2 4 2 5 10" xfId="1214" xr:uid="{0D9F17CE-0FFC-4871-8E63-F06F9349B660}"/>
    <cellStyle name="Normal 2 4 2 5 11" xfId="10580" xr:uid="{B7CC6D27-DBCA-41F3-BB4D-E368E50134F8}"/>
    <cellStyle name="Normal 2 4 2 5 2" xfId="297" xr:uid="{00000000-0005-0000-0000-000000020000}"/>
    <cellStyle name="Normal 2 4 2 5 2 10" xfId="10581" xr:uid="{876F1BD9-9855-4B6D-8763-0EDFFC9B12FD}"/>
    <cellStyle name="Normal 2 4 2 5 2 2" xfId="793" xr:uid="{00000000-0005-0000-0000-000001020000}"/>
    <cellStyle name="Normal 2 4 2 5 2 2 2" xfId="4689" xr:uid="{DA847B07-B6AC-42FE-A4BF-ABBC0DA88F2E}"/>
    <cellStyle name="Normal 2 4 2 5 2 2 2 2" xfId="8907" xr:uid="{75D705FF-48B1-4AC9-BB1D-7C93D9B316C5}"/>
    <cellStyle name="Normal 2 4 2 5 2 2 3" xfId="6762" xr:uid="{FBB68FEE-8668-4BA5-80DC-47E750F5BE1C}"/>
    <cellStyle name="Normal 2 4 2 5 2 2 4" xfId="2460" xr:uid="{044EB6E7-B445-43C5-B4C1-C76D66D29FCD}"/>
    <cellStyle name="Normal 2 4 2 5 2 2 5" xfId="1631" xr:uid="{67738FA6-FC9E-4128-AA39-3F47FCD4979A}"/>
    <cellStyle name="Normal 2 4 2 5 2 2 6" xfId="10997" xr:uid="{369FD4DA-7C24-4DB5-B86D-BDD7DCE45E73}"/>
    <cellStyle name="Normal 2 4 2 5 2 3" xfId="2873" xr:uid="{7474B514-EF0D-49E3-900E-DE95A7913E2D}"/>
    <cellStyle name="Normal 2 4 2 5 2 3 2" xfId="5102" xr:uid="{3F426F76-1914-4425-9258-3A6177279710}"/>
    <cellStyle name="Normal 2 4 2 5 2 3 2 2" xfId="9320" xr:uid="{DB196937-5689-448B-A215-6B927B7B6ABC}"/>
    <cellStyle name="Normal 2 4 2 5 2 3 3" xfId="7175" xr:uid="{5793D4D2-E05C-4D58-A3F1-9ABC80F7F7D8}"/>
    <cellStyle name="Normal 2 4 2 5 2 4" xfId="3286" xr:uid="{DE43A971-EB41-44E2-ABBF-AA4EB5E8A869}"/>
    <cellStyle name="Normal 2 4 2 5 2 4 2" xfId="5515" xr:uid="{71328069-5B6F-4A24-AB12-01B3503AD170}"/>
    <cellStyle name="Normal 2 4 2 5 2 4 2 2" xfId="9733" xr:uid="{84F15F85-2260-4936-9527-6A5BE6E38806}"/>
    <cellStyle name="Normal 2 4 2 5 2 4 3" xfId="7588" xr:uid="{A2FC2D98-737B-49E7-AA52-DD6A4D05E930}"/>
    <cellStyle name="Normal 2 4 2 5 2 5" xfId="3699" xr:uid="{E2EFD68E-2BD6-4BD7-9009-567DEAE120DD}"/>
    <cellStyle name="Normal 2 4 2 5 2 5 2" xfId="5928" xr:uid="{11C2B9BD-0C80-4EE5-B5EB-41DE96C534B4}"/>
    <cellStyle name="Normal 2 4 2 5 2 5 2 2" xfId="10146" xr:uid="{EA634EAC-5131-42CE-8C39-3475A3E5C24A}"/>
    <cellStyle name="Normal 2 4 2 5 2 5 3" xfId="8001" xr:uid="{D1DC9813-D791-4B05-89E9-65AB0B35B268}"/>
    <cellStyle name="Normal 2 4 2 5 2 6" xfId="4135" xr:uid="{FA317366-82EB-44ED-A21C-D7CCFA89854C}"/>
    <cellStyle name="Normal 2 4 2 5 2 6 2" xfId="8414" xr:uid="{E3C4DD5A-9F93-48EC-9842-32F5A6ECFCAC}"/>
    <cellStyle name="Normal 2 4 2 5 2 7" xfId="6348" xr:uid="{39BC3EE3-3E86-4757-9C23-91C860656BE2}"/>
    <cellStyle name="Normal 2 4 2 5 2 8" xfId="2044" xr:uid="{261BEF70-04E3-4A5F-9E03-F2D0A684C4BF}"/>
    <cellStyle name="Normal 2 4 2 5 2 9" xfId="1215" xr:uid="{DC1C1D61-4BD5-43DD-AF26-3DA557D07978}"/>
    <cellStyle name="Normal 2 4 2 5 3" xfId="792" xr:uid="{00000000-0005-0000-0000-000002020000}"/>
    <cellStyle name="Normal 2 4 2 5 3 2" xfId="4688" xr:uid="{1A27205A-6591-4387-8241-67BE91D55E32}"/>
    <cellStyle name="Normal 2 4 2 5 3 2 2" xfId="8906" xr:uid="{11A8B841-CC57-4B00-947A-8CBFB33AF726}"/>
    <cellStyle name="Normal 2 4 2 5 3 3" xfId="6761" xr:uid="{7BFBD907-7779-4E3E-83E8-4396D803C57F}"/>
    <cellStyle name="Normal 2 4 2 5 3 4" xfId="2459" xr:uid="{42F9E937-9351-4F76-92E2-98E06DBAC0B3}"/>
    <cellStyle name="Normal 2 4 2 5 3 5" xfId="1630" xr:uid="{34F8EA2B-B7AE-4FD5-9A88-4B87517E8950}"/>
    <cellStyle name="Normal 2 4 2 5 3 6" xfId="10996" xr:uid="{59005FAE-6B0B-444B-A1E7-95A2DD98C40F}"/>
    <cellStyle name="Normal 2 4 2 5 4" xfId="2872" xr:uid="{3841FF99-E170-40FE-8F84-E03E29F98EAF}"/>
    <cellStyle name="Normal 2 4 2 5 4 2" xfId="5101" xr:uid="{999185FD-BD42-4F53-96C7-D41AD02A65D5}"/>
    <cellStyle name="Normal 2 4 2 5 4 2 2" xfId="9319" xr:uid="{2AA02A74-3F24-4743-97C6-272CD5F0E380}"/>
    <cellStyle name="Normal 2 4 2 5 4 3" xfId="7174" xr:uid="{1CD27462-7105-4699-9B3A-CEA81056ACCE}"/>
    <cellStyle name="Normal 2 4 2 5 5" xfId="3285" xr:uid="{6331C32A-2895-4710-A2F2-9A194A8CD622}"/>
    <cellStyle name="Normal 2 4 2 5 5 2" xfId="5514" xr:uid="{6E989DE7-ABC9-44E0-850D-35F93DAA3348}"/>
    <cellStyle name="Normal 2 4 2 5 5 2 2" xfId="9732" xr:uid="{919279A7-52C7-4D6E-B395-5A8CF6882607}"/>
    <cellStyle name="Normal 2 4 2 5 5 3" xfId="7587" xr:uid="{8E7B768D-C11F-49BA-9C6C-4C8B718812CA}"/>
    <cellStyle name="Normal 2 4 2 5 6" xfId="3698" xr:uid="{91D23220-785B-4E74-BE49-2935CD616D50}"/>
    <cellStyle name="Normal 2 4 2 5 6 2" xfId="5927" xr:uid="{4035945B-64A7-4E0E-9186-AA62271442BE}"/>
    <cellStyle name="Normal 2 4 2 5 6 2 2" xfId="10145" xr:uid="{F5A39B9C-8D8B-4E19-96D1-8C81B34EDD23}"/>
    <cellStyle name="Normal 2 4 2 5 6 3" xfId="8000" xr:uid="{43E88E32-A3EF-4DC9-B031-17202C283759}"/>
    <cellStyle name="Normal 2 4 2 5 7" xfId="4134" xr:uid="{BB37BE35-6F0C-4F60-BF94-D310AE0A1DB4}"/>
    <cellStyle name="Normal 2 4 2 5 7 2" xfId="8413" xr:uid="{BBB15AF5-8E61-4321-B78C-D7B3C2A1A61B}"/>
    <cellStyle name="Normal 2 4 2 5 8" xfId="6347" xr:uid="{93C9E925-C947-4AD0-BFAA-919BA485E87C}"/>
    <cellStyle name="Normal 2 4 2 5 9" xfId="2043" xr:uid="{9C4C8782-9C1C-495A-B0FB-7BA1E2E747AF}"/>
    <cellStyle name="Normal 2 4 2 6" xfId="298" xr:uid="{00000000-0005-0000-0000-000003020000}"/>
    <cellStyle name="Normal 2 4 2 6 10" xfId="10582" xr:uid="{D0667402-DC94-4A24-9D4E-A52CDE27B208}"/>
    <cellStyle name="Normal 2 4 2 6 2" xfId="794" xr:uid="{00000000-0005-0000-0000-000004020000}"/>
    <cellStyle name="Normal 2 4 2 6 2 2" xfId="4690" xr:uid="{B9E40518-EA58-4ACF-B8A6-13E99B574E43}"/>
    <cellStyle name="Normal 2 4 2 6 2 2 2" xfId="8908" xr:uid="{0E577357-26C9-4074-9BB4-257DB9CB9B52}"/>
    <cellStyle name="Normal 2 4 2 6 2 3" xfId="6763" xr:uid="{05113D88-E1DD-4776-8AEA-35188214BE11}"/>
    <cellStyle name="Normal 2 4 2 6 2 4" xfId="2461" xr:uid="{D2F85D5B-0F22-4716-9725-440B7C82049E}"/>
    <cellStyle name="Normal 2 4 2 6 2 5" xfId="1632" xr:uid="{3C9EE3B9-E90B-4910-AAF7-8B10C14F6624}"/>
    <cellStyle name="Normal 2 4 2 6 2 6" xfId="10998" xr:uid="{827CAE4C-D763-44A9-8E2B-DCD3B70FEBEA}"/>
    <cellStyle name="Normal 2 4 2 6 3" xfId="2874" xr:uid="{AC1F3CAE-96B1-4B2A-A51E-4BC1901AC59F}"/>
    <cellStyle name="Normal 2 4 2 6 3 2" xfId="5103" xr:uid="{3C606937-5F52-465A-80FF-6BB698DCD51E}"/>
    <cellStyle name="Normal 2 4 2 6 3 2 2" xfId="9321" xr:uid="{21CBD83E-504C-4CAC-B107-C77E88E22167}"/>
    <cellStyle name="Normal 2 4 2 6 3 3" xfId="7176" xr:uid="{F719A6B3-FA27-43B2-882F-73102BC14B7C}"/>
    <cellStyle name="Normal 2 4 2 6 4" xfId="3287" xr:uid="{88C3A677-9111-4064-8B2C-FD74AE784581}"/>
    <cellStyle name="Normal 2 4 2 6 4 2" xfId="5516" xr:uid="{D0A3542A-A1C8-45C2-B74E-E7D6BB7A238F}"/>
    <cellStyle name="Normal 2 4 2 6 4 2 2" xfId="9734" xr:uid="{9B109163-86A8-44F1-A584-24BA6580AC4F}"/>
    <cellStyle name="Normal 2 4 2 6 4 3" xfId="7589" xr:uid="{124C4C38-D795-44E7-BF7F-DAE3341A4B7C}"/>
    <cellStyle name="Normal 2 4 2 6 5" xfId="3700" xr:uid="{8A00D1A2-A109-4053-915D-3BC5C1A009DB}"/>
    <cellStyle name="Normal 2 4 2 6 5 2" xfId="5929" xr:uid="{58BFFF17-2423-441F-B74A-8B41E4911B2A}"/>
    <cellStyle name="Normal 2 4 2 6 5 2 2" xfId="10147" xr:uid="{57C81D0E-E385-4BA9-9342-5D913606AB7F}"/>
    <cellStyle name="Normal 2 4 2 6 5 3" xfId="8002" xr:uid="{591CDBBA-E26D-4F6C-BE2C-6BA0F501B13C}"/>
    <cellStyle name="Normal 2 4 2 6 6" xfId="4136" xr:uid="{7F370DC0-FA57-401F-8555-D11F5E0CCB31}"/>
    <cellStyle name="Normal 2 4 2 6 6 2" xfId="8415" xr:uid="{88A4C2AB-560F-42A7-B7F7-3296B112E4BA}"/>
    <cellStyle name="Normal 2 4 2 6 7" xfId="6349" xr:uid="{C96F09C1-3054-4849-95E0-8EB22D4CD868}"/>
    <cellStyle name="Normal 2 4 2 6 8" xfId="2045" xr:uid="{0547B51A-1810-4238-B293-73FE32DAD8C3}"/>
    <cellStyle name="Normal 2 4 2 6 9" xfId="1216" xr:uid="{C675F838-98DA-43F0-9866-1654FA816A52}"/>
    <cellStyle name="Normal 2 4 2 7" xfId="779" xr:uid="{00000000-0005-0000-0000-000005020000}"/>
    <cellStyle name="Normal 2 4 2 7 2" xfId="4675" xr:uid="{93550C6F-277D-4EC0-9058-A3F6C0C43835}"/>
    <cellStyle name="Normal 2 4 2 7 2 2" xfId="8893" xr:uid="{7C025C98-E0B3-4FB3-9BF4-2E335BE56E7F}"/>
    <cellStyle name="Normal 2 4 2 7 3" xfId="6748" xr:uid="{3D2F00E2-CBA4-4D09-81C8-6EA4F3D695BA}"/>
    <cellStyle name="Normal 2 4 2 7 4" xfId="2446" xr:uid="{7D29583A-A373-4B42-BEF1-10D0739F81DC}"/>
    <cellStyle name="Normal 2 4 2 7 5" xfId="1617" xr:uid="{EE1AA58D-D158-4BAB-8D88-8F5D9CC30846}"/>
    <cellStyle name="Normal 2 4 2 7 6" xfId="10983" xr:uid="{D1E0C75E-E8C1-43A9-879D-04DFF625DB54}"/>
    <cellStyle name="Normal 2 4 2 8" xfId="2859" xr:uid="{7AF8AB39-8C59-4BD3-89F5-89E1B3E8A34B}"/>
    <cellStyle name="Normal 2 4 2 8 2" xfId="5088" xr:uid="{C0B61A14-5A65-49F9-97B2-5FD2DAB8B9C9}"/>
    <cellStyle name="Normal 2 4 2 8 2 2" xfId="9306" xr:uid="{8ACEAF87-2548-449B-AF4A-8FCC61E9E6EC}"/>
    <cellStyle name="Normal 2 4 2 8 3" xfId="7161" xr:uid="{B37874FB-A122-4A3C-950B-D0EF99B0CBC3}"/>
    <cellStyle name="Normal 2 4 2 9" xfId="3272" xr:uid="{8EA0BFA6-8969-4D01-9DB0-4710691015B6}"/>
    <cellStyle name="Normal 2 4 2 9 2" xfId="5501" xr:uid="{21405F72-33F5-45B3-AAE3-C52603112FFF}"/>
    <cellStyle name="Normal 2 4 2 9 2 2" xfId="9719" xr:uid="{2935EC14-6E5F-42E2-89C1-EA4098A71990}"/>
    <cellStyle name="Normal 2 4 2 9 3" xfId="7574" xr:uid="{080079D6-1C29-44B5-98EE-6627047F8EB6}"/>
    <cellStyle name="Normal 2 4 3" xfId="299" xr:uid="{00000000-0005-0000-0000-000006020000}"/>
    <cellStyle name="Normal 2 4 3 10" xfId="2046" xr:uid="{11454577-F16E-4CA9-9026-BB733DDCF646}"/>
    <cellStyle name="Normal 2 4 3 11" xfId="1217" xr:uid="{9E425CD4-A269-484B-95FC-FBC1F5677516}"/>
    <cellStyle name="Normal 2 4 3 12" xfId="10583" xr:uid="{1F175223-B061-4739-A4EF-B2C958DAD5BE}"/>
    <cellStyle name="Normal 2 4 3 2" xfId="300" xr:uid="{00000000-0005-0000-0000-000007020000}"/>
    <cellStyle name="Normal 2 4 3 3" xfId="301" xr:uid="{00000000-0005-0000-0000-000008020000}"/>
    <cellStyle name="Normal 2 4 3 3 10" xfId="2047" xr:uid="{3A7C7C93-0D2B-4B44-A692-6A4A3FE85EBD}"/>
    <cellStyle name="Normal 2 4 3 3 11" xfId="1218" xr:uid="{8490E840-A382-42FB-905B-39F63D304137}"/>
    <cellStyle name="Normal 2 4 3 3 12" xfId="10584" xr:uid="{06223703-5335-4DCB-9809-7033B95FAB88}"/>
    <cellStyle name="Normal 2 4 3 3 2" xfId="302" xr:uid="{00000000-0005-0000-0000-000009020000}"/>
    <cellStyle name="Normal 2 4 3 3 2 10" xfId="1219" xr:uid="{DB90CE48-7E01-48B9-95BE-0336E277D958}"/>
    <cellStyle name="Normal 2 4 3 3 2 11" xfId="10585" xr:uid="{FA43F4FC-AD54-4850-9FB0-DB9B8E3BF74A}"/>
    <cellStyle name="Normal 2 4 3 3 2 2" xfId="303" xr:uid="{00000000-0005-0000-0000-00000A020000}"/>
    <cellStyle name="Normal 2 4 3 3 2 2 10" xfId="10586" xr:uid="{705EEF74-2422-4309-95DA-09448C1D7C5D}"/>
    <cellStyle name="Normal 2 4 3 3 2 2 2" xfId="798" xr:uid="{00000000-0005-0000-0000-00000B020000}"/>
    <cellStyle name="Normal 2 4 3 3 2 2 2 2" xfId="4694" xr:uid="{F77DE0BF-786D-49E6-9681-B17FDF4E43D6}"/>
    <cellStyle name="Normal 2 4 3 3 2 2 2 2 2" xfId="8912" xr:uid="{D40ECDD4-9276-4EDD-A225-2084351C0FBA}"/>
    <cellStyle name="Normal 2 4 3 3 2 2 2 3" xfId="6767" xr:uid="{405E6487-4595-424A-ABF8-C0EB20164914}"/>
    <cellStyle name="Normal 2 4 3 3 2 2 2 4" xfId="2465" xr:uid="{90DC6C7B-39ED-4C8B-A8FE-A8CE7ADA1545}"/>
    <cellStyle name="Normal 2 4 3 3 2 2 2 5" xfId="1636" xr:uid="{C0EDD6A6-D3BE-4E29-8458-024AA5CF5FCD}"/>
    <cellStyle name="Normal 2 4 3 3 2 2 2 6" xfId="11002" xr:uid="{75C1BBDF-F0B4-4874-8F61-107EBFCBDA77}"/>
    <cellStyle name="Normal 2 4 3 3 2 2 3" xfId="2878" xr:uid="{20813076-0C09-4D7A-9762-EBB3EA1F4F97}"/>
    <cellStyle name="Normal 2 4 3 3 2 2 3 2" xfId="5107" xr:uid="{B3282175-6411-4356-87DF-CB542F085461}"/>
    <cellStyle name="Normal 2 4 3 3 2 2 3 2 2" xfId="9325" xr:uid="{7F5C7A1F-30DD-41BC-BF96-78F90DF82C2F}"/>
    <cellStyle name="Normal 2 4 3 3 2 2 3 3" xfId="7180" xr:uid="{95693A63-07BB-49C1-A101-F27A323E3850}"/>
    <cellStyle name="Normal 2 4 3 3 2 2 4" xfId="3291" xr:uid="{D42C518B-114B-48B2-8B02-0EDC73C23DE3}"/>
    <cellStyle name="Normal 2 4 3 3 2 2 4 2" xfId="5520" xr:uid="{23B7CAAF-CE2B-4B48-9E0C-FCFE62797AB7}"/>
    <cellStyle name="Normal 2 4 3 3 2 2 4 2 2" xfId="9738" xr:uid="{DD797F32-9FE6-49FA-A507-568085425537}"/>
    <cellStyle name="Normal 2 4 3 3 2 2 4 3" xfId="7593" xr:uid="{71CB0A62-5A32-491A-95BA-A2CAB2317A8A}"/>
    <cellStyle name="Normal 2 4 3 3 2 2 5" xfId="3704" xr:uid="{12F5053F-BEC6-4343-A0BA-B3210FE2BD31}"/>
    <cellStyle name="Normal 2 4 3 3 2 2 5 2" xfId="5933" xr:uid="{DACD0181-49D6-4B4D-ABE4-32E0B22F3486}"/>
    <cellStyle name="Normal 2 4 3 3 2 2 5 2 2" xfId="10151" xr:uid="{8BB12633-AF76-4638-887D-127470FBDA7D}"/>
    <cellStyle name="Normal 2 4 3 3 2 2 5 3" xfId="8006" xr:uid="{F5E4A4F6-B7BC-4996-8B89-5A2AA70FB264}"/>
    <cellStyle name="Normal 2 4 3 3 2 2 6" xfId="4140" xr:uid="{BD8131C0-6DD2-4091-A924-CC134EA45695}"/>
    <cellStyle name="Normal 2 4 3 3 2 2 6 2" xfId="8419" xr:uid="{638FB3E0-7F31-4DC4-8203-70BFC2249488}"/>
    <cellStyle name="Normal 2 4 3 3 2 2 7" xfId="6353" xr:uid="{4DB0D809-1536-4AC5-BEC4-FCD3DB20FC01}"/>
    <cellStyle name="Normal 2 4 3 3 2 2 8" xfId="2049" xr:uid="{850C61D2-3FF4-42C5-8FBA-3EB5B21B45B0}"/>
    <cellStyle name="Normal 2 4 3 3 2 2 9" xfId="1220" xr:uid="{CC8E20C0-1C1D-4394-9866-B85CB68C31A1}"/>
    <cellStyle name="Normal 2 4 3 3 2 3" xfId="797" xr:uid="{00000000-0005-0000-0000-00000C020000}"/>
    <cellStyle name="Normal 2 4 3 3 2 3 2" xfId="4693" xr:uid="{C7A8CB58-B115-41FE-94BE-BA16AFACACF3}"/>
    <cellStyle name="Normal 2 4 3 3 2 3 2 2" xfId="8911" xr:uid="{21AED067-D72D-4F56-9C36-2FD6440781E1}"/>
    <cellStyle name="Normal 2 4 3 3 2 3 3" xfId="6766" xr:uid="{B138031F-83F2-4E3F-A401-3BD6A4142356}"/>
    <cellStyle name="Normal 2 4 3 3 2 3 4" xfId="2464" xr:uid="{AC22F0AE-B20A-4459-AEAD-FBCB05E5A7F9}"/>
    <cellStyle name="Normal 2 4 3 3 2 3 5" xfId="1635" xr:uid="{49D33AE0-7A81-4C28-950F-F56A0350BB12}"/>
    <cellStyle name="Normal 2 4 3 3 2 3 6" xfId="11001" xr:uid="{E94CA58C-BEF6-41C8-AC6F-8405AE9764C0}"/>
    <cellStyle name="Normal 2 4 3 3 2 4" xfId="2877" xr:uid="{8DE7C91E-0E3F-4F8C-9A40-2702F55175FF}"/>
    <cellStyle name="Normal 2 4 3 3 2 4 2" xfId="5106" xr:uid="{6CE8309D-81B3-4EF3-9892-200965D45009}"/>
    <cellStyle name="Normal 2 4 3 3 2 4 2 2" xfId="9324" xr:uid="{D3C84C2B-A605-48ED-AD05-EFF044E71468}"/>
    <cellStyle name="Normal 2 4 3 3 2 4 3" xfId="7179" xr:uid="{09F98BDA-6A52-4B2C-9A23-5B388F30CE0E}"/>
    <cellStyle name="Normal 2 4 3 3 2 5" xfId="3290" xr:uid="{FA52DD91-B8CE-488D-868B-A77A272881AA}"/>
    <cellStyle name="Normal 2 4 3 3 2 5 2" xfId="5519" xr:uid="{E46894B3-A4C0-4465-A54F-A8A49915B0C3}"/>
    <cellStyle name="Normal 2 4 3 3 2 5 2 2" xfId="9737" xr:uid="{65136BD6-E277-41E4-9BE4-B0F7AC6A1B78}"/>
    <cellStyle name="Normal 2 4 3 3 2 5 3" xfId="7592" xr:uid="{70C9B1ED-322A-404F-96AB-6E1341653CAA}"/>
    <cellStyle name="Normal 2 4 3 3 2 6" xfId="3703" xr:uid="{F370469A-0E37-4534-B642-A8BA86B9E42E}"/>
    <cellStyle name="Normal 2 4 3 3 2 6 2" xfId="5932" xr:uid="{7E48C403-C838-4769-B04E-3D984AC955D0}"/>
    <cellStyle name="Normal 2 4 3 3 2 6 2 2" xfId="10150" xr:uid="{789D9E4A-E166-478F-83A0-1962082C27B6}"/>
    <cellStyle name="Normal 2 4 3 3 2 6 3" xfId="8005" xr:uid="{896B39EB-7109-467F-8A4D-969531525534}"/>
    <cellStyle name="Normal 2 4 3 3 2 7" xfId="4139" xr:uid="{B24B9940-449B-49A1-A878-732E2614DE20}"/>
    <cellStyle name="Normal 2 4 3 3 2 7 2" xfId="8418" xr:uid="{693A73CB-9506-44D4-830F-5A09F4FCCC25}"/>
    <cellStyle name="Normal 2 4 3 3 2 8" xfId="6352" xr:uid="{9A624EB8-1173-487E-8786-487DA1C5DC2E}"/>
    <cellStyle name="Normal 2 4 3 3 2 9" xfId="2048" xr:uid="{9A5A223E-2592-4251-B22C-6E1E4A4D945A}"/>
    <cellStyle name="Normal 2 4 3 3 3" xfId="304" xr:uid="{00000000-0005-0000-0000-00000D020000}"/>
    <cellStyle name="Normal 2 4 3 3 3 10" xfId="10587" xr:uid="{7CFD3908-7D83-4FB0-99F6-1BFEBB3A1918}"/>
    <cellStyle name="Normal 2 4 3 3 3 2" xfId="799" xr:uid="{00000000-0005-0000-0000-00000E020000}"/>
    <cellStyle name="Normal 2 4 3 3 3 2 2" xfId="4695" xr:uid="{FEEDB230-5DF6-4840-B19F-F7F8F66EBE6F}"/>
    <cellStyle name="Normal 2 4 3 3 3 2 2 2" xfId="8913" xr:uid="{14B47166-08D9-4E6A-8EF8-66AB406D6582}"/>
    <cellStyle name="Normal 2 4 3 3 3 2 3" xfId="6768" xr:uid="{3D8E86BE-E413-42C6-82F6-6C02ADA163C6}"/>
    <cellStyle name="Normal 2 4 3 3 3 2 4" xfId="2466" xr:uid="{BB2C61BB-B504-4C84-9842-DBE073860EAF}"/>
    <cellStyle name="Normal 2 4 3 3 3 2 5" xfId="1637" xr:uid="{48746E8F-971C-438C-BD78-033FBC3491CE}"/>
    <cellStyle name="Normal 2 4 3 3 3 2 6" xfId="11003" xr:uid="{12EB8AD1-1035-436C-824A-B256CE252F28}"/>
    <cellStyle name="Normal 2 4 3 3 3 3" xfId="2879" xr:uid="{02F32817-F266-468E-8039-94559326DC65}"/>
    <cellStyle name="Normal 2 4 3 3 3 3 2" xfId="5108" xr:uid="{6119B34B-0810-425C-8BA9-E8BF03F73167}"/>
    <cellStyle name="Normal 2 4 3 3 3 3 2 2" xfId="9326" xr:uid="{75909A72-FA09-4BD1-993D-862A59977B7B}"/>
    <cellStyle name="Normal 2 4 3 3 3 3 3" xfId="7181" xr:uid="{367BE285-99F3-413F-86B4-A1144D73DE6C}"/>
    <cellStyle name="Normal 2 4 3 3 3 4" xfId="3292" xr:uid="{2A1E6F0E-78E9-4C18-887B-15E325274C8F}"/>
    <cellStyle name="Normal 2 4 3 3 3 4 2" xfId="5521" xr:uid="{CE26EE8C-DC79-4B72-A5DE-63CF03D30B2C}"/>
    <cellStyle name="Normal 2 4 3 3 3 4 2 2" xfId="9739" xr:uid="{54EC36C5-4C49-4DDC-BC58-21FE341C33A1}"/>
    <cellStyle name="Normal 2 4 3 3 3 4 3" xfId="7594" xr:uid="{8E5B6D8B-34B8-4A6A-ABFB-9A200E113B1F}"/>
    <cellStyle name="Normal 2 4 3 3 3 5" xfId="3705" xr:uid="{E0AF90B8-4B59-4D88-A90A-CA89D977A677}"/>
    <cellStyle name="Normal 2 4 3 3 3 5 2" xfId="5934" xr:uid="{D65D2D1F-2B46-4A9E-B52B-02CBBF4D5F0F}"/>
    <cellStyle name="Normal 2 4 3 3 3 5 2 2" xfId="10152" xr:uid="{FCA494C5-FB25-48EA-ACE4-1B43975931B3}"/>
    <cellStyle name="Normal 2 4 3 3 3 5 3" xfId="8007" xr:uid="{E850F0D2-A4E7-486A-96EF-2513D1BD0EA9}"/>
    <cellStyle name="Normal 2 4 3 3 3 6" xfId="4141" xr:uid="{88AF4681-0A47-4EDE-AEFE-932A6CF632EB}"/>
    <cellStyle name="Normal 2 4 3 3 3 6 2" xfId="8420" xr:uid="{977E71C2-3FB2-458F-91FF-DFBD8543EA53}"/>
    <cellStyle name="Normal 2 4 3 3 3 7" xfId="6354" xr:uid="{15D66C74-3981-4659-B5FE-7C1ACC5855D4}"/>
    <cellStyle name="Normal 2 4 3 3 3 8" xfId="2050" xr:uid="{19B1533F-0D69-4A36-B55E-62A1C6500B56}"/>
    <cellStyle name="Normal 2 4 3 3 3 9" xfId="1221" xr:uid="{BBC21235-A1E5-404F-983A-A8BB3744412D}"/>
    <cellStyle name="Normal 2 4 3 3 4" xfId="796" xr:uid="{00000000-0005-0000-0000-00000F020000}"/>
    <cellStyle name="Normal 2 4 3 3 4 2" xfId="4692" xr:uid="{7E885CBA-4431-47EA-93A3-D1C7651FB763}"/>
    <cellStyle name="Normal 2 4 3 3 4 2 2" xfId="8910" xr:uid="{5AC8E0F0-018A-42CF-87D1-04A06FF029D3}"/>
    <cellStyle name="Normal 2 4 3 3 4 3" xfId="6765" xr:uid="{A4764340-8711-4498-ADF2-F283E5FFE578}"/>
    <cellStyle name="Normal 2 4 3 3 4 4" xfId="2463" xr:uid="{894E5369-E54F-4C0E-9DE8-EBDF858A4D89}"/>
    <cellStyle name="Normal 2 4 3 3 4 5" xfId="1634" xr:uid="{37B71B2D-B16B-4A05-919F-786BCE052F78}"/>
    <cellStyle name="Normal 2 4 3 3 4 6" xfId="11000" xr:uid="{074EF9E1-96A6-47DE-B1F0-0B9567C4B80E}"/>
    <cellStyle name="Normal 2 4 3 3 5" xfId="2876" xr:uid="{12A97D56-B726-439E-A599-9D8C2FAD2E02}"/>
    <cellStyle name="Normal 2 4 3 3 5 2" xfId="5105" xr:uid="{18EBCE41-893A-4FF8-8FBC-001944E80A88}"/>
    <cellStyle name="Normal 2 4 3 3 5 2 2" xfId="9323" xr:uid="{EB8D2CF9-4424-4FD7-AB87-3938E674FFB7}"/>
    <cellStyle name="Normal 2 4 3 3 5 3" xfId="7178" xr:uid="{B13BDC64-0D26-4EB2-A7C3-68C576CCA02B}"/>
    <cellStyle name="Normal 2 4 3 3 6" xfId="3289" xr:uid="{598902F6-B5C3-4E1A-A8DC-91D20124E362}"/>
    <cellStyle name="Normal 2 4 3 3 6 2" xfId="5518" xr:uid="{8579E69D-75C9-4582-B98E-056C99E03E5D}"/>
    <cellStyle name="Normal 2 4 3 3 6 2 2" xfId="9736" xr:uid="{A610DF0E-70D2-46FA-A5DE-96DB6FC1E38C}"/>
    <cellStyle name="Normal 2 4 3 3 6 3" xfId="7591" xr:uid="{38271D37-710C-4F1D-888C-16505BDC615F}"/>
    <cellStyle name="Normal 2 4 3 3 7" xfId="3702" xr:uid="{1858D3F7-12A8-4F22-BF1F-49F0720F4D71}"/>
    <cellStyle name="Normal 2 4 3 3 7 2" xfId="5931" xr:uid="{DC42318A-3125-4BA2-BCF7-01FCB9215DA9}"/>
    <cellStyle name="Normal 2 4 3 3 7 2 2" xfId="10149" xr:uid="{F34E67E6-2AC0-4A4C-8141-4D48645825CE}"/>
    <cellStyle name="Normal 2 4 3 3 7 3" xfId="8004" xr:uid="{8AC7DA7E-0140-4195-B2EF-2ACFF6C94560}"/>
    <cellStyle name="Normal 2 4 3 3 8" xfId="4138" xr:uid="{8AC73BB6-6A53-4305-A549-1B1AB94A25DE}"/>
    <cellStyle name="Normal 2 4 3 3 8 2" xfId="8417" xr:uid="{B19F21BC-C5AB-412D-9823-AD20EEA9A909}"/>
    <cellStyle name="Normal 2 4 3 3 9" xfId="6351" xr:uid="{007EE792-6A75-43E6-928C-E23ADDC9039D}"/>
    <cellStyle name="Normal 2 4 3 4" xfId="795" xr:uid="{00000000-0005-0000-0000-000010020000}"/>
    <cellStyle name="Normal 2 4 3 4 2" xfId="4691" xr:uid="{ED21425A-BD83-43E0-8EC9-A4508C710426}"/>
    <cellStyle name="Normal 2 4 3 4 2 2" xfId="8909" xr:uid="{A9310DA1-72A1-4301-AB1C-273EBBABAD49}"/>
    <cellStyle name="Normal 2 4 3 4 3" xfId="6764" xr:uid="{E9A9D425-5598-4648-A7AC-B793A902FF28}"/>
    <cellStyle name="Normal 2 4 3 4 4" xfId="2462" xr:uid="{F9C1CF1B-58C6-4A7A-BDBA-BE35C2C4D7DA}"/>
    <cellStyle name="Normal 2 4 3 4 5" xfId="1633" xr:uid="{93F33791-2046-4ADB-8015-217FFBD9391E}"/>
    <cellStyle name="Normal 2 4 3 4 6" xfId="10999" xr:uid="{F36C1322-2C08-45CB-8EC7-FA0BDB5B65BA}"/>
    <cellStyle name="Normal 2 4 3 5" xfId="2875" xr:uid="{696056F7-E468-452C-A429-D1CA4823F04C}"/>
    <cellStyle name="Normal 2 4 3 5 2" xfId="5104" xr:uid="{FE473F88-5EB2-4E24-A574-05CDB5CAFC3C}"/>
    <cellStyle name="Normal 2 4 3 5 2 2" xfId="9322" xr:uid="{8AB3EAC6-1D4A-4F0B-9F70-BE6145AB79DC}"/>
    <cellStyle name="Normal 2 4 3 5 3" xfId="7177" xr:uid="{0BD6C8E2-57A1-4DB3-8AB9-4B14F51EC4B4}"/>
    <cellStyle name="Normal 2 4 3 6" xfId="3288" xr:uid="{6E18BBDD-32C7-4745-9A04-B14A113DDFC1}"/>
    <cellStyle name="Normal 2 4 3 6 2" xfId="5517" xr:uid="{8FAFDB7C-03A0-4D5D-BD9A-037811685CFF}"/>
    <cellStyle name="Normal 2 4 3 6 2 2" xfId="9735" xr:uid="{464DA71B-4CAF-4FE3-B064-9D38F13D77D1}"/>
    <cellStyle name="Normal 2 4 3 6 3" xfId="7590" xr:uid="{0332246E-D4C2-48F9-BB00-1E35ED045D73}"/>
    <cellStyle name="Normal 2 4 3 7" xfId="3701" xr:uid="{4CAB87A9-7D7B-4265-987B-44E0D424C0D6}"/>
    <cellStyle name="Normal 2 4 3 7 2" xfId="5930" xr:uid="{2FC5443F-86A1-4BD3-BD9E-0F1EEE60C078}"/>
    <cellStyle name="Normal 2 4 3 7 2 2" xfId="10148" xr:uid="{9CA52666-DFBF-4812-9C4F-5117A724DDFE}"/>
    <cellStyle name="Normal 2 4 3 7 3" xfId="8003" xr:uid="{839B79A9-F60C-4008-864A-272EFC875C51}"/>
    <cellStyle name="Normal 2 4 3 8" xfId="4137" xr:uid="{7B864C38-C2E6-439D-B3E4-33D89BE0427A}"/>
    <cellStyle name="Normal 2 4 3 8 2" xfId="8416" xr:uid="{14EDEE61-A865-4060-BFF6-58226C654904}"/>
    <cellStyle name="Normal 2 4 3 9" xfId="6350" xr:uid="{2376A6C9-1900-4301-9BA7-73D5CF329541}"/>
    <cellStyle name="Normal 2 4 4" xfId="305" xr:uid="{00000000-0005-0000-0000-000011020000}"/>
    <cellStyle name="Normal 2 4 5" xfId="306" xr:uid="{00000000-0005-0000-0000-000012020000}"/>
    <cellStyle name="Normal 2 4 5 10" xfId="6355" xr:uid="{1894DEE2-0960-457A-93C8-2EB106C9E066}"/>
    <cellStyle name="Normal 2 4 5 11" xfId="2051" xr:uid="{9989A30A-8F27-4189-8359-1DD446E2F31F}"/>
    <cellStyle name="Normal 2 4 5 12" xfId="1222" xr:uid="{25D164E1-B597-47E1-B4F9-C573B925B0D2}"/>
    <cellStyle name="Normal 2 4 5 13" xfId="10588" xr:uid="{63D36E23-A359-4FB5-8BF7-9AFDA2E0520D}"/>
    <cellStyle name="Normal 2 4 5 2" xfId="307" xr:uid="{00000000-0005-0000-0000-000013020000}"/>
    <cellStyle name="Normal 2 4 5 2 10" xfId="2052" xr:uid="{3D4BB6C6-DAEA-4C42-A4E9-46126671CF50}"/>
    <cellStyle name="Normal 2 4 5 2 11" xfId="1223" xr:uid="{7D0AA3CF-AC54-4FF1-99A5-ADB62C67CD23}"/>
    <cellStyle name="Normal 2 4 5 2 12" xfId="10589" xr:uid="{6E18F935-84A6-4946-823A-CB3A983BE91C}"/>
    <cellStyle name="Normal 2 4 5 2 2" xfId="308" xr:uid="{00000000-0005-0000-0000-000014020000}"/>
    <cellStyle name="Normal 2 4 5 2 2 10" xfId="1224" xr:uid="{7BB068EC-3517-4C39-A06E-735D47B49533}"/>
    <cellStyle name="Normal 2 4 5 2 2 11" xfId="10590" xr:uid="{FD286266-CFA6-43A5-AA7D-3C66F4BD4D83}"/>
    <cellStyle name="Normal 2 4 5 2 2 2" xfId="309" xr:uid="{00000000-0005-0000-0000-000015020000}"/>
    <cellStyle name="Normal 2 4 5 2 2 2 10" xfId="10591" xr:uid="{9FA70631-BFF5-40BF-B3EB-325BAEB55ECE}"/>
    <cellStyle name="Normal 2 4 5 2 2 2 2" xfId="803" xr:uid="{00000000-0005-0000-0000-000016020000}"/>
    <cellStyle name="Normal 2 4 5 2 2 2 2 2" xfId="4699" xr:uid="{55941B18-F458-4CC1-B06A-8396195E69E9}"/>
    <cellStyle name="Normal 2 4 5 2 2 2 2 2 2" xfId="8917" xr:uid="{1B4E1144-24C0-41FE-B781-D06675B84F3E}"/>
    <cellStyle name="Normal 2 4 5 2 2 2 2 3" xfId="6772" xr:uid="{C15778AA-669F-47B4-B74A-8B4890E4B2B8}"/>
    <cellStyle name="Normal 2 4 5 2 2 2 2 4" xfId="2470" xr:uid="{1708362E-3D5F-44BE-A970-5251B5A9A5B7}"/>
    <cellStyle name="Normal 2 4 5 2 2 2 2 5" xfId="1641" xr:uid="{0B1A5C7F-F31C-42C8-AA52-E5A8B8982378}"/>
    <cellStyle name="Normal 2 4 5 2 2 2 2 6" xfId="11007" xr:uid="{F82077BA-DE6D-434E-9E76-F4A8E5F772ED}"/>
    <cellStyle name="Normal 2 4 5 2 2 2 3" xfId="2883" xr:uid="{69A570CE-6E0D-4022-9BEF-88E1910BF42E}"/>
    <cellStyle name="Normal 2 4 5 2 2 2 3 2" xfId="5112" xr:uid="{1047B03A-DFD1-4C8B-B53F-0E69C242C94D}"/>
    <cellStyle name="Normal 2 4 5 2 2 2 3 2 2" xfId="9330" xr:uid="{5F692112-E7F4-459C-B706-EBA7C266554D}"/>
    <cellStyle name="Normal 2 4 5 2 2 2 3 3" xfId="7185" xr:uid="{2DC8A3AE-37EA-44A8-8A51-24D8B1A56BC1}"/>
    <cellStyle name="Normal 2 4 5 2 2 2 4" xfId="3296" xr:uid="{41402CE5-446B-4F22-BF4A-A2EE143D24BB}"/>
    <cellStyle name="Normal 2 4 5 2 2 2 4 2" xfId="5525" xr:uid="{960AB217-C271-4592-8D9C-4F71CF862249}"/>
    <cellStyle name="Normal 2 4 5 2 2 2 4 2 2" xfId="9743" xr:uid="{07396EB9-2F42-4F9C-9A6C-ADFB23E0AFE8}"/>
    <cellStyle name="Normal 2 4 5 2 2 2 4 3" xfId="7598" xr:uid="{FAF44A5D-27AE-4FD5-8690-A3384C154187}"/>
    <cellStyle name="Normal 2 4 5 2 2 2 5" xfId="3709" xr:uid="{F9173513-BA63-4AD4-85B9-C714D9BD0FFE}"/>
    <cellStyle name="Normal 2 4 5 2 2 2 5 2" xfId="5938" xr:uid="{5206FFE0-D87A-4CE4-A5E6-4649A82AF9A4}"/>
    <cellStyle name="Normal 2 4 5 2 2 2 5 2 2" xfId="10156" xr:uid="{C5846C78-B8EE-4C31-9DEE-55A168E4BD02}"/>
    <cellStyle name="Normal 2 4 5 2 2 2 5 3" xfId="8011" xr:uid="{4FFB06DB-8812-4146-8DF5-8A8EE7978C54}"/>
    <cellStyle name="Normal 2 4 5 2 2 2 6" xfId="4145" xr:uid="{9CA6FA64-2672-42C0-B50C-46E97F736FDC}"/>
    <cellStyle name="Normal 2 4 5 2 2 2 6 2" xfId="8424" xr:uid="{7BE4E0CE-1A10-4572-9569-0C3EB2136FD0}"/>
    <cellStyle name="Normal 2 4 5 2 2 2 7" xfId="6358" xr:uid="{747CD22B-3C16-48A1-974B-80CB2A295030}"/>
    <cellStyle name="Normal 2 4 5 2 2 2 8" xfId="2054" xr:uid="{696BEBE0-1A63-4BD7-9C4A-D14C29D953C7}"/>
    <cellStyle name="Normal 2 4 5 2 2 2 9" xfId="1225" xr:uid="{D539291E-979B-458C-A688-9EF4566A5F28}"/>
    <cellStyle name="Normal 2 4 5 2 2 3" xfId="802" xr:uid="{00000000-0005-0000-0000-000017020000}"/>
    <cellStyle name="Normal 2 4 5 2 2 3 2" xfId="4698" xr:uid="{F0D4A167-E8A2-47C0-956E-F5A80ACEEC95}"/>
    <cellStyle name="Normal 2 4 5 2 2 3 2 2" xfId="8916" xr:uid="{53E14F12-FA5C-4002-9E44-B89F53D1F0C7}"/>
    <cellStyle name="Normal 2 4 5 2 2 3 3" xfId="6771" xr:uid="{61B1F1F2-958F-43A2-9AE6-5A75AF8F57CF}"/>
    <cellStyle name="Normal 2 4 5 2 2 3 4" xfId="2469" xr:uid="{F186B8C0-7CBF-434C-80C0-C36927140DB0}"/>
    <cellStyle name="Normal 2 4 5 2 2 3 5" xfId="1640" xr:uid="{BE2C4C5C-14E8-43B9-81B6-651B2D98941B}"/>
    <cellStyle name="Normal 2 4 5 2 2 3 6" xfId="11006" xr:uid="{B7A45A83-DAC3-40F8-87FE-2C88504833D9}"/>
    <cellStyle name="Normal 2 4 5 2 2 4" xfId="2882" xr:uid="{000BACB9-64D9-4FF8-9D2D-13E60CF5EA16}"/>
    <cellStyle name="Normal 2 4 5 2 2 4 2" xfId="5111" xr:uid="{18C44A17-2A03-4181-8954-2D5B720421FA}"/>
    <cellStyle name="Normal 2 4 5 2 2 4 2 2" xfId="9329" xr:uid="{4E3D907B-81CA-4E24-83A3-13680345F5B6}"/>
    <cellStyle name="Normal 2 4 5 2 2 4 3" xfId="7184" xr:uid="{0E4F5878-8855-4D3D-BECD-8555E71FF632}"/>
    <cellStyle name="Normal 2 4 5 2 2 5" xfId="3295" xr:uid="{06859DB6-0B24-41F9-9D0B-F2B6AC5F18FA}"/>
    <cellStyle name="Normal 2 4 5 2 2 5 2" xfId="5524" xr:uid="{E8B39DF7-D854-434A-9ED8-B033624F2FD2}"/>
    <cellStyle name="Normal 2 4 5 2 2 5 2 2" xfId="9742" xr:uid="{A659FC79-0D9C-4DB5-AD30-59B1D5C5384E}"/>
    <cellStyle name="Normal 2 4 5 2 2 5 3" xfId="7597" xr:uid="{78DD5439-992D-4544-A60B-65C10CB4ADD7}"/>
    <cellStyle name="Normal 2 4 5 2 2 6" xfId="3708" xr:uid="{8B44ADA0-C152-48AA-8029-364C4ACF20AA}"/>
    <cellStyle name="Normal 2 4 5 2 2 6 2" xfId="5937" xr:uid="{77791E83-AC6C-4274-B8C4-795A79A89098}"/>
    <cellStyle name="Normal 2 4 5 2 2 6 2 2" xfId="10155" xr:uid="{0276292C-5E4C-492F-918D-FF6C9E5895EC}"/>
    <cellStyle name="Normal 2 4 5 2 2 6 3" xfId="8010" xr:uid="{0EA23A89-7521-4564-8467-D911BE523D1F}"/>
    <cellStyle name="Normal 2 4 5 2 2 7" xfId="4144" xr:uid="{8655EBDC-9AA5-4B32-B40E-12B843CFBC67}"/>
    <cellStyle name="Normal 2 4 5 2 2 7 2" xfId="8423" xr:uid="{89B93636-E339-4E5E-BD87-32D3BE6636FA}"/>
    <cellStyle name="Normal 2 4 5 2 2 8" xfId="6357" xr:uid="{ACBAEF91-54BB-41B0-A524-5BA1EA26995C}"/>
    <cellStyle name="Normal 2 4 5 2 2 9" xfId="2053" xr:uid="{0BAE2EE5-FC84-47C0-B83B-759DB3AD942E}"/>
    <cellStyle name="Normal 2 4 5 2 3" xfId="310" xr:uid="{00000000-0005-0000-0000-000018020000}"/>
    <cellStyle name="Normal 2 4 5 2 3 10" xfId="10592" xr:uid="{28E0DFFB-5EC3-4032-98D7-96CFC9A54D00}"/>
    <cellStyle name="Normal 2 4 5 2 3 2" xfId="804" xr:uid="{00000000-0005-0000-0000-000019020000}"/>
    <cellStyle name="Normal 2 4 5 2 3 2 2" xfId="4700" xr:uid="{D9DC4D1A-B1B8-45C8-8BB3-300C9857BEEB}"/>
    <cellStyle name="Normal 2 4 5 2 3 2 2 2" xfId="8918" xr:uid="{65B1C748-1615-49EA-84EE-1561F599BE84}"/>
    <cellStyle name="Normal 2 4 5 2 3 2 3" xfId="6773" xr:uid="{55F2E185-79F7-4359-AF68-7CD458F4C644}"/>
    <cellStyle name="Normal 2 4 5 2 3 2 4" xfId="2471" xr:uid="{439729F1-6AF8-48EC-ADDF-53488712D150}"/>
    <cellStyle name="Normal 2 4 5 2 3 2 5" xfId="1642" xr:uid="{1D6A1C67-8548-479C-9E95-23F6D97211EC}"/>
    <cellStyle name="Normal 2 4 5 2 3 2 6" xfId="11008" xr:uid="{21B2842B-42C9-4507-AF8B-97B0CB1A47D4}"/>
    <cellStyle name="Normal 2 4 5 2 3 3" xfId="2884" xr:uid="{D9512612-C5E0-490E-94EE-2BFB64A3F1A6}"/>
    <cellStyle name="Normal 2 4 5 2 3 3 2" xfId="5113" xr:uid="{1A17AA9A-B1CD-4AFF-856E-D387EE2222FF}"/>
    <cellStyle name="Normal 2 4 5 2 3 3 2 2" xfId="9331" xr:uid="{9A8285ED-1A68-40F9-8624-F53538775A02}"/>
    <cellStyle name="Normal 2 4 5 2 3 3 3" xfId="7186" xr:uid="{6C8D8DFE-3E29-4DEA-84D7-A6C8F33B21D5}"/>
    <cellStyle name="Normal 2 4 5 2 3 4" xfId="3297" xr:uid="{E20930C6-3846-4C1C-9FD2-0145240CF731}"/>
    <cellStyle name="Normal 2 4 5 2 3 4 2" xfId="5526" xr:uid="{6F2C4749-6488-4215-BF83-1F0AB562C56B}"/>
    <cellStyle name="Normal 2 4 5 2 3 4 2 2" xfId="9744" xr:uid="{1D375DD9-70CC-4957-BDE1-FBE236E49804}"/>
    <cellStyle name="Normal 2 4 5 2 3 4 3" xfId="7599" xr:uid="{F205A65F-EE36-40ED-8F98-5514746D3B5F}"/>
    <cellStyle name="Normal 2 4 5 2 3 5" xfId="3710" xr:uid="{9EC51B30-EBFF-4AB4-9902-82836B8D57E5}"/>
    <cellStyle name="Normal 2 4 5 2 3 5 2" xfId="5939" xr:uid="{A773F8D7-149B-47D6-AD95-74D6C1FB86D3}"/>
    <cellStyle name="Normal 2 4 5 2 3 5 2 2" xfId="10157" xr:uid="{46BDC52A-BA59-42A4-88B1-8BA7F21FCD65}"/>
    <cellStyle name="Normal 2 4 5 2 3 5 3" xfId="8012" xr:uid="{64336384-B68C-48BE-B516-0C64A9587FA8}"/>
    <cellStyle name="Normal 2 4 5 2 3 6" xfId="4146" xr:uid="{A3D6F69C-3534-4933-9BBB-37687A2AE715}"/>
    <cellStyle name="Normal 2 4 5 2 3 6 2" xfId="8425" xr:uid="{02D0AA38-F396-4BA7-BD76-C4FAEF395174}"/>
    <cellStyle name="Normal 2 4 5 2 3 7" xfId="6359" xr:uid="{BD6660CF-157E-46F3-8C21-8CA9A5460957}"/>
    <cellStyle name="Normal 2 4 5 2 3 8" xfId="2055" xr:uid="{C5A88462-8481-4446-8D6E-3E535FA27F18}"/>
    <cellStyle name="Normal 2 4 5 2 3 9" xfId="1226" xr:uid="{F7D6F3BC-BAB7-4041-95CB-6EEC729C4694}"/>
    <cellStyle name="Normal 2 4 5 2 4" xfId="801" xr:uid="{00000000-0005-0000-0000-00001A020000}"/>
    <cellStyle name="Normal 2 4 5 2 4 2" xfId="4697" xr:uid="{9B9669B1-0371-45CE-B67E-8794309C6AE9}"/>
    <cellStyle name="Normal 2 4 5 2 4 2 2" xfId="8915" xr:uid="{794E519B-7BBE-4AC2-9769-1CC78FFCD3AF}"/>
    <cellStyle name="Normal 2 4 5 2 4 3" xfId="6770" xr:uid="{3969D011-D435-4276-9771-704CAE9B8505}"/>
    <cellStyle name="Normal 2 4 5 2 4 4" xfId="2468" xr:uid="{0A35C8D1-ECDD-4AB9-8F93-96F9179D6A2F}"/>
    <cellStyle name="Normal 2 4 5 2 4 5" xfId="1639" xr:uid="{7068FD33-2676-4662-A1B4-B054DF3A783C}"/>
    <cellStyle name="Normal 2 4 5 2 4 6" xfId="11005" xr:uid="{2A5E6D55-43D6-4F5F-AF28-A64686992FC3}"/>
    <cellStyle name="Normal 2 4 5 2 5" xfId="2881" xr:uid="{4A237234-4E6F-4A9E-97E8-243A3756BDC0}"/>
    <cellStyle name="Normal 2 4 5 2 5 2" xfId="5110" xr:uid="{167A4687-CD4B-4424-8383-6553F410628B}"/>
    <cellStyle name="Normal 2 4 5 2 5 2 2" xfId="9328" xr:uid="{C0FCD8EE-0920-4204-A456-9E2298030369}"/>
    <cellStyle name="Normal 2 4 5 2 5 3" xfId="7183" xr:uid="{35F1AB25-887F-4BC7-9BE7-2FE7644D4F3C}"/>
    <cellStyle name="Normal 2 4 5 2 6" xfId="3294" xr:uid="{CA972A9B-587B-42AB-8963-AECAA133C324}"/>
    <cellStyle name="Normal 2 4 5 2 6 2" xfId="5523" xr:uid="{684B16FF-062A-4C38-B587-90ED5CFBA8C6}"/>
    <cellStyle name="Normal 2 4 5 2 6 2 2" xfId="9741" xr:uid="{17121201-C2EF-4A9C-AE8F-8FB91C17AFC0}"/>
    <cellStyle name="Normal 2 4 5 2 6 3" xfId="7596" xr:uid="{3F42B634-ED82-4455-8BDF-CF0E8938A69F}"/>
    <cellStyle name="Normal 2 4 5 2 7" xfId="3707" xr:uid="{513CEC95-6B5A-4957-B950-7E89060894A4}"/>
    <cellStyle name="Normal 2 4 5 2 7 2" xfId="5936" xr:uid="{0B480DCF-7FF0-493E-B5FD-1462BC07DFFC}"/>
    <cellStyle name="Normal 2 4 5 2 7 2 2" xfId="10154" xr:uid="{E9B7491A-290A-4350-B71A-2BE97FED0AE4}"/>
    <cellStyle name="Normal 2 4 5 2 7 3" xfId="8009" xr:uid="{09A8088B-BB3A-4BA9-9ABB-2A7EDBCB726F}"/>
    <cellStyle name="Normal 2 4 5 2 8" xfId="4143" xr:uid="{0B914170-1D67-43B9-9B57-BD77950C96E3}"/>
    <cellStyle name="Normal 2 4 5 2 8 2" xfId="8422" xr:uid="{BDCF7016-3FEB-4EE2-91D5-E1AE9EADB665}"/>
    <cellStyle name="Normal 2 4 5 2 9" xfId="6356" xr:uid="{1E8FCF89-9F4E-4C2D-9785-4DBC9BE4E957}"/>
    <cellStyle name="Normal 2 4 5 3" xfId="311" xr:uid="{00000000-0005-0000-0000-00001B020000}"/>
    <cellStyle name="Normal 2 4 5 3 10" xfId="1227" xr:uid="{C53E30AD-E9A1-49E2-B7B5-46DF7BA395FF}"/>
    <cellStyle name="Normal 2 4 5 3 11" xfId="10593" xr:uid="{397A4FED-8D0D-4915-BC40-C8041AE2FEE0}"/>
    <cellStyle name="Normal 2 4 5 3 2" xfId="312" xr:uid="{00000000-0005-0000-0000-00001C020000}"/>
    <cellStyle name="Normal 2 4 5 3 2 10" xfId="10594" xr:uid="{AFEC533A-AA48-4C73-A5E2-CDE1757A39D8}"/>
    <cellStyle name="Normal 2 4 5 3 2 2" xfId="806" xr:uid="{00000000-0005-0000-0000-00001D020000}"/>
    <cellStyle name="Normal 2 4 5 3 2 2 2" xfId="4702" xr:uid="{4C460F94-9368-445C-A681-D006E340EB71}"/>
    <cellStyle name="Normal 2 4 5 3 2 2 2 2" xfId="8920" xr:uid="{717B0748-97EF-425D-AA0D-F39AA29E7767}"/>
    <cellStyle name="Normal 2 4 5 3 2 2 3" xfId="6775" xr:uid="{9C7BA40C-479F-4D9A-95BF-851EE4F7EB2B}"/>
    <cellStyle name="Normal 2 4 5 3 2 2 4" xfId="2473" xr:uid="{25467D59-4CF8-4B9B-B164-B71409384E0E}"/>
    <cellStyle name="Normal 2 4 5 3 2 2 5" xfId="1644" xr:uid="{6410C7D0-6948-4F9D-9AA7-C7B6F249EF1A}"/>
    <cellStyle name="Normal 2 4 5 3 2 2 6" xfId="11010" xr:uid="{0557BEFA-7AD7-49B8-B099-6CF69E7FEFFE}"/>
    <cellStyle name="Normal 2 4 5 3 2 3" xfId="2886" xr:uid="{6F3CC3B7-4A80-47B0-86E3-5CC34589BDD4}"/>
    <cellStyle name="Normal 2 4 5 3 2 3 2" xfId="5115" xr:uid="{AF3323FC-8FFF-421A-9626-E095738B30EA}"/>
    <cellStyle name="Normal 2 4 5 3 2 3 2 2" xfId="9333" xr:uid="{CBA3962B-261C-46A8-BFE2-226EFF8C520A}"/>
    <cellStyle name="Normal 2 4 5 3 2 3 3" xfId="7188" xr:uid="{A072204D-B870-48D4-9B33-A4D59F76C5E7}"/>
    <cellStyle name="Normal 2 4 5 3 2 4" xfId="3299" xr:uid="{ED6B42A9-FA0A-4B35-BBF2-0FB5DF8B6801}"/>
    <cellStyle name="Normal 2 4 5 3 2 4 2" xfId="5528" xr:uid="{247B236E-5D4B-4487-8468-632BC8AA9158}"/>
    <cellStyle name="Normal 2 4 5 3 2 4 2 2" xfId="9746" xr:uid="{0BA3D39B-676A-47C4-A738-A6B55675AB9F}"/>
    <cellStyle name="Normal 2 4 5 3 2 4 3" xfId="7601" xr:uid="{A43292D0-459D-453C-98AA-06EE18756D62}"/>
    <cellStyle name="Normal 2 4 5 3 2 5" xfId="3712" xr:uid="{DAE41A74-1D98-42FA-8003-7DF044A4DC29}"/>
    <cellStyle name="Normal 2 4 5 3 2 5 2" xfId="5941" xr:uid="{99A51CEC-EB7F-4D81-8E31-BB7A5715339D}"/>
    <cellStyle name="Normal 2 4 5 3 2 5 2 2" xfId="10159" xr:uid="{DE0A0612-FBAB-4CF1-B4E5-2FCA28FA4DC3}"/>
    <cellStyle name="Normal 2 4 5 3 2 5 3" xfId="8014" xr:uid="{2575D412-A761-401D-8BD1-386A5F2EB190}"/>
    <cellStyle name="Normal 2 4 5 3 2 6" xfId="4148" xr:uid="{77DAD84D-37AF-4FEA-931B-DC44F1CDE00E}"/>
    <cellStyle name="Normal 2 4 5 3 2 6 2" xfId="8427" xr:uid="{C643061B-8A5B-4BA9-BCC2-466E84319172}"/>
    <cellStyle name="Normal 2 4 5 3 2 7" xfId="6361" xr:uid="{9F91175D-4B9F-463C-A6BC-F2DB6C62F84D}"/>
    <cellStyle name="Normal 2 4 5 3 2 8" xfId="2057" xr:uid="{90D07FA9-8476-4405-81F9-D081C1A81C49}"/>
    <cellStyle name="Normal 2 4 5 3 2 9" xfId="1228" xr:uid="{B3CB2308-4AE0-4E62-A22F-B1A980B49969}"/>
    <cellStyle name="Normal 2 4 5 3 3" xfId="805" xr:uid="{00000000-0005-0000-0000-00001E020000}"/>
    <cellStyle name="Normal 2 4 5 3 3 2" xfId="4701" xr:uid="{61781AB3-6879-41EA-856C-1B8FD611B729}"/>
    <cellStyle name="Normal 2 4 5 3 3 2 2" xfId="8919" xr:uid="{43E89DD2-58F9-4092-867B-263D3109D738}"/>
    <cellStyle name="Normal 2 4 5 3 3 3" xfId="6774" xr:uid="{71C3FBC5-D7D3-4562-97F9-348206544EA1}"/>
    <cellStyle name="Normal 2 4 5 3 3 4" xfId="2472" xr:uid="{E6FB624B-E5A5-4845-B646-CEDB0E9B0BE7}"/>
    <cellStyle name="Normal 2 4 5 3 3 5" xfId="1643" xr:uid="{3563B907-6096-46D6-83FF-37128AA408CB}"/>
    <cellStyle name="Normal 2 4 5 3 3 6" xfId="11009" xr:uid="{5398BB9F-AE20-4AB3-BD02-3593F2933CF5}"/>
    <cellStyle name="Normal 2 4 5 3 4" xfId="2885" xr:uid="{F37DA18C-DB59-40D7-8600-580B3190F151}"/>
    <cellStyle name="Normal 2 4 5 3 4 2" xfId="5114" xr:uid="{C0F0FB2A-86D6-4A0B-8949-9D5E541CD1CC}"/>
    <cellStyle name="Normal 2 4 5 3 4 2 2" xfId="9332" xr:uid="{F5DCADB8-C62D-4821-B6FF-BF5E4657A1C7}"/>
    <cellStyle name="Normal 2 4 5 3 4 3" xfId="7187" xr:uid="{B6FF739A-0C19-47F3-B1FE-A43426210CB1}"/>
    <cellStyle name="Normal 2 4 5 3 5" xfId="3298" xr:uid="{664E7332-ADA7-4DA6-838C-1D39B1755DFB}"/>
    <cellStyle name="Normal 2 4 5 3 5 2" xfId="5527" xr:uid="{084817B5-E204-428D-BB23-FAFA5941EB89}"/>
    <cellStyle name="Normal 2 4 5 3 5 2 2" xfId="9745" xr:uid="{93395E92-BE62-40AB-A399-510810F0BF27}"/>
    <cellStyle name="Normal 2 4 5 3 5 3" xfId="7600" xr:uid="{D4551DE8-619C-4268-A304-47B51EC9DA15}"/>
    <cellStyle name="Normal 2 4 5 3 6" xfId="3711" xr:uid="{DA3CF839-1B16-4697-AC64-3C62B8C6AD03}"/>
    <cellStyle name="Normal 2 4 5 3 6 2" xfId="5940" xr:uid="{947F57A2-3812-44DA-838F-5C3F0EDC7F0B}"/>
    <cellStyle name="Normal 2 4 5 3 6 2 2" xfId="10158" xr:uid="{86BADD4C-B4D7-43D7-9B62-0D6A881CE663}"/>
    <cellStyle name="Normal 2 4 5 3 6 3" xfId="8013" xr:uid="{16B8981F-EDE5-4EA5-8D81-B5194CC6D841}"/>
    <cellStyle name="Normal 2 4 5 3 7" xfId="4147" xr:uid="{2ED778B9-5C38-4C0E-A65D-1FEC9C4301FE}"/>
    <cellStyle name="Normal 2 4 5 3 7 2" xfId="8426" xr:uid="{A6FD6426-4DAF-49CE-970E-E8AB4617B414}"/>
    <cellStyle name="Normal 2 4 5 3 8" xfId="6360" xr:uid="{8F6146A7-CC58-44FE-87B1-31FFBF421F39}"/>
    <cellStyle name="Normal 2 4 5 3 9" xfId="2056" xr:uid="{20973834-3188-49B8-8F70-978FB61986D7}"/>
    <cellStyle name="Normal 2 4 5 4" xfId="313" xr:uid="{00000000-0005-0000-0000-00001F020000}"/>
    <cellStyle name="Normal 2 4 5 4 10" xfId="10595" xr:uid="{15FF554D-4327-40E4-AB53-DD5FE3BCAE69}"/>
    <cellStyle name="Normal 2 4 5 4 2" xfId="807" xr:uid="{00000000-0005-0000-0000-000020020000}"/>
    <cellStyle name="Normal 2 4 5 4 2 2" xfId="4703" xr:uid="{11176622-EAEC-4CDF-AF20-D7688FB7C95E}"/>
    <cellStyle name="Normal 2 4 5 4 2 2 2" xfId="8921" xr:uid="{D28538BB-81EB-465F-BD8D-B2B571205255}"/>
    <cellStyle name="Normal 2 4 5 4 2 3" xfId="6776" xr:uid="{A0732907-88C7-46B5-A241-67DE0A17E7EA}"/>
    <cellStyle name="Normal 2 4 5 4 2 4" xfId="2474" xr:uid="{84AF8D92-043A-4AAA-BE3E-A9B6D659E73A}"/>
    <cellStyle name="Normal 2 4 5 4 2 5" xfId="1645" xr:uid="{8CDF6252-F0A6-4753-9953-54C0C12CAE21}"/>
    <cellStyle name="Normal 2 4 5 4 2 6" xfId="11011" xr:uid="{2BB0AF2F-4B30-4F70-9601-F73CCE83810D}"/>
    <cellStyle name="Normal 2 4 5 4 3" xfId="2887" xr:uid="{CB358FB6-CD16-40DA-AABF-9F5F702D8FC8}"/>
    <cellStyle name="Normal 2 4 5 4 3 2" xfId="5116" xr:uid="{EEC188B6-C412-474A-A917-C532D31EDFD0}"/>
    <cellStyle name="Normal 2 4 5 4 3 2 2" xfId="9334" xr:uid="{D096CF8D-2AD4-47E4-9990-39DACF48D066}"/>
    <cellStyle name="Normal 2 4 5 4 3 3" xfId="7189" xr:uid="{D9BFAF30-4FD9-4012-9B44-0E5175E7CB29}"/>
    <cellStyle name="Normal 2 4 5 4 4" xfId="3300" xr:uid="{72F0BF7B-D5C2-4DFD-816E-AC0195849896}"/>
    <cellStyle name="Normal 2 4 5 4 4 2" xfId="5529" xr:uid="{0791A022-DEBB-41BD-A35E-5E1452860E8E}"/>
    <cellStyle name="Normal 2 4 5 4 4 2 2" xfId="9747" xr:uid="{D3CAD7A0-4EE2-402F-923C-AC7B9CC75A70}"/>
    <cellStyle name="Normal 2 4 5 4 4 3" xfId="7602" xr:uid="{6DA8A867-5D01-45A9-A67B-48D0E9D77479}"/>
    <cellStyle name="Normal 2 4 5 4 5" xfId="3713" xr:uid="{E69D02B8-AA2C-4F45-B0DF-A4BB986A168A}"/>
    <cellStyle name="Normal 2 4 5 4 5 2" xfId="5942" xr:uid="{F23D4B38-EF94-4213-AA99-6E5D0CEB0D46}"/>
    <cellStyle name="Normal 2 4 5 4 5 2 2" xfId="10160" xr:uid="{81725270-B869-4594-92EE-60FEB00DA79C}"/>
    <cellStyle name="Normal 2 4 5 4 5 3" xfId="8015" xr:uid="{84F39CCE-7CBE-4418-9D50-CA199A2E88C3}"/>
    <cellStyle name="Normal 2 4 5 4 6" xfId="4149" xr:uid="{EC7F67E6-9393-4BD8-8A74-0E548569CC26}"/>
    <cellStyle name="Normal 2 4 5 4 6 2" xfId="8428" xr:uid="{74460FB6-3421-48A3-B5F6-7829FE64F41E}"/>
    <cellStyle name="Normal 2 4 5 4 7" xfId="6362" xr:uid="{0C5410BF-B124-45DD-A831-7F1DCD5E8546}"/>
    <cellStyle name="Normal 2 4 5 4 8" xfId="2058" xr:uid="{B192BA9E-A031-4B58-9B11-B291C2255451}"/>
    <cellStyle name="Normal 2 4 5 4 9" xfId="1229" xr:uid="{BB379780-9BFA-4115-A830-4594C1AAB094}"/>
    <cellStyle name="Normal 2 4 5 5" xfId="800" xr:uid="{00000000-0005-0000-0000-000021020000}"/>
    <cellStyle name="Normal 2 4 5 5 2" xfId="4696" xr:uid="{B64FA6E1-009C-4502-98A8-1038D3B43A65}"/>
    <cellStyle name="Normal 2 4 5 5 2 2" xfId="8914" xr:uid="{0981143F-A907-43BA-8800-8CC5D72F34DD}"/>
    <cellStyle name="Normal 2 4 5 5 3" xfId="6769" xr:uid="{5397C3D5-55EB-4D00-BBE5-1EE47195B350}"/>
    <cellStyle name="Normal 2 4 5 5 4" xfId="2467" xr:uid="{6C90264C-16CE-4E03-A0C0-04A4F919584A}"/>
    <cellStyle name="Normal 2 4 5 5 5" xfId="1638" xr:uid="{0744FCE3-99E6-4AE9-9458-51BF3A172544}"/>
    <cellStyle name="Normal 2 4 5 5 6" xfId="11004" xr:uid="{7AC5F46B-A08C-4141-BC64-FFB6627ECE56}"/>
    <cellStyle name="Normal 2 4 5 6" xfId="2880" xr:uid="{C8D59B30-66E2-446B-8187-2C5109789D5C}"/>
    <cellStyle name="Normal 2 4 5 6 2" xfId="5109" xr:uid="{81A6C257-0356-46C0-A431-8C2306161FEE}"/>
    <cellStyle name="Normal 2 4 5 6 2 2" xfId="9327" xr:uid="{AE8E4D7B-83CB-4765-ACAA-D748549AB840}"/>
    <cellStyle name="Normal 2 4 5 6 3" xfId="7182" xr:uid="{25E90C94-92A8-4329-81EB-B68B78BF9D7C}"/>
    <cellStyle name="Normal 2 4 5 7" xfId="3293" xr:uid="{352BECAF-B7E3-4283-A9FB-856D8CFFA33B}"/>
    <cellStyle name="Normal 2 4 5 7 2" xfId="5522" xr:uid="{627F1CD8-40CD-45C4-A7AD-4476A4CF3D62}"/>
    <cellStyle name="Normal 2 4 5 7 2 2" xfId="9740" xr:uid="{B8AF17DF-66DF-4FC0-8F42-19D4E8FA53D4}"/>
    <cellStyle name="Normal 2 4 5 7 3" xfId="7595" xr:uid="{EEA6EB78-DED9-45D3-8CEC-8895F5975F23}"/>
    <cellStyle name="Normal 2 4 5 8" xfId="3706" xr:uid="{A334434A-A267-4E2A-9BDF-11DA90472301}"/>
    <cellStyle name="Normal 2 4 5 8 2" xfId="5935" xr:uid="{14A58109-4A3D-462E-83EC-42CD9281EF01}"/>
    <cellStyle name="Normal 2 4 5 8 2 2" xfId="10153" xr:uid="{A6A488F2-1E62-493C-B8BF-50486DC491AD}"/>
    <cellStyle name="Normal 2 4 5 8 3" xfId="8008" xr:uid="{11FDA9C4-B85C-4665-A547-8C6FBD347DBC}"/>
    <cellStyle name="Normal 2 4 5 9" xfId="4142" xr:uid="{AD297AB8-9C1E-48AB-BF72-C8800292B4A8}"/>
    <cellStyle name="Normal 2 4 5 9 2" xfId="8421" xr:uid="{EB00B064-9CCD-4D5D-8423-735D65E54A65}"/>
    <cellStyle name="Normal 2 4 6" xfId="314" xr:uid="{00000000-0005-0000-0000-000022020000}"/>
    <cellStyle name="Normal 2 4 7" xfId="315" xr:uid="{00000000-0005-0000-0000-000023020000}"/>
    <cellStyle name="Normal 2 4 7 10" xfId="1230" xr:uid="{8EBF8D78-85AE-4BF0-B370-2D8BB7255F10}"/>
    <cellStyle name="Normal 2 4 7 11" xfId="10596" xr:uid="{414FBC3C-D6B9-4F3A-9AEF-DD151E4754AE}"/>
    <cellStyle name="Normal 2 4 7 2" xfId="316" xr:uid="{00000000-0005-0000-0000-000024020000}"/>
    <cellStyle name="Normal 2 4 7 2 10" xfId="10597" xr:uid="{EFA9E53B-606A-4F1D-B96D-BE9F59FDCA9C}"/>
    <cellStyle name="Normal 2 4 7 2 2" xfId="809" xr:uid="{00000000-0005-0000-0000-000025020000}"/>
    <cellStyle name="Normal 2 4 7 2 2 2" xfId="4705" xr:uid="{7C4F67EB-31C0-440C-B154-862D546FA7F9}"/>
    <cellStyle name="Normal 2 4 7 2 2 2 2" xfId="8923" xr:uid="{21DF4F67-DD3A-48CD-8D09-3518AB01368E}"/>
    <cellStyle name="Normal 2 4 7 2 2 3" xfId="6778" xr:uid="{6C644B71-A593-4933-9C9F-15EF1F4C8097}"/>
    <cellStyle name="Normal 2 4 7 2 2 4" xfId="2476" xr:uid="{554EE89C-68FE-4600-8084-6AD4C806311D}"/>
    <cellStyle name="Normal 2 4 7 2 2 5" xfId="1647" xr:uid="{4345C622-A4FB-4FD6-9033-F639177DB58A}"/>
    <cellStyle name="Normal 2 4 7 2 2 6" xfId="11013" xr:uid="{E73D8C5D-F5C5-4A61-85AC-D0329116426C}"/>
    <cellStyle name="Normal 2 4 7 2 3" xfId="2889" xr:uid="{6E645AAB-80FB-410B-933B-3F64765359EC}"/>
    <cellStyle name="Normal 2 4 7 2 3 2" xfId="5118" xr:uid="{6CB5F555-BF3B-49AA-BCC1-2612C03ECBCA}"/>
    <cellStyle name="Normal 2 4 7 2 3 2 2" xfId="9336" xr:uid="{5DD08E35-F74D-485F-8570-41CC22410C2E}"/>
    <cellStyle name="Normal 2 4 7 2 3 3" xfId="7191" xr:uid="{AAC18706-F3E6-4025-9AA0-CF383741C600}"/>
    <cellStyle name="Normal 2 4 7 2 4" xfId="3302" xr:uid="{505086D0-C7E7-413E-8244-5F584643DF24}"/>
    <cellStyle name="Normal 2 4 7 2 4 2" xfId="5531" xr:uid="{1A7CA6D3-0B03-4CC7-9843-2F3D4CC6020C}"/>
    <cellStyle name="Normal 2 4 7 2 4 2 2" xfId="9749" xr:uid="{85C9DF78-88A8-4EAE-9193-84B6ED64B911}"/>
    <cellStyle name="Normal 2 4 7 2 4 3" xfId="7604" xr:uid="{9DFB30B9-A03B-4B76-8BAF-79FC4B118AA8}"/>
    <cellStyle name="Normal 2 4 7 2 5" xfId="3715" xr:uid="{663555F7-9A8C-478F-9B07-C9E19D23DA8A}"/>
    <cellStyle name="Normal 2 4 7 2 5 2" xfId="5944" xr:uid="{2E31D5D9-C89A-46B4-A446-0B62C01BC0B5}"/>
    <cellStyle name="Normal 2 4 7 2 5 2 2" xfId="10162" xr:uid="{6B9738C8-345D-493B-BA1E-489ED49CA128}"/>
    <cellStyle name="Normal 2 4 7 2 5 3" xfId="8017" xr:uid="{E843106B-112E-406B-9031-03321EDCB8CA}"/>
    <cellStyle name="Normal 2 4 7 2 6" xfId="4151" xr:uid="{7538AF09-2041-44ED-8643-448F5FE4608C}"/>
    <cellStyle name="Normal 2 4 7 2 6 2" xfId="8430" xr:uid="{E81CDBA0-19B9-476F-8092-01758A5F1AC7}"/>
    <cellStyle name="Normal 2 4 7 2 7" xfId="6364" xr:uid="{3A37C83A-502C-4F03-8E97-270E8AC910A7}"/>
    <cellStyle name="Normal 2 4 7 2 8" xfId="2060" xr:uid="{CAE8FFF4-2B37-4F6C-A34D-32AF9C3CF681}"/>
    <cellStyle name="Normal 2 4 7 2 9" xfId="1231" xr:uid="{2126B558-54D4-4580-9453-588E4B9AA4D5}"/>
    <cellStyle name="Normal 2 4 7 3" xfId="808" xr:uid="{00000000-0005-0000-0000-000026020000}"/>
    <cellStyle name="Normal 2 4 7 3 2" xfId="4704" xr:uid="{912B210F-D61B-46D6-967C-19EFCF367BC9}"/>
    <cellStyle name="Normal 2 4 7 3 2 2" xfId="8922" xr:uid="{2037F1B5-849C-4EB5-8243-6FEB8D5343E8}"/>
    <cellStyle name="Normal 2 4 7 3 3" xfId="6777" xr:uid="{89DF7B47-FF47-435C-84A7-B0777CFAAC94}"/>
    <cellStyle name="Normal 2 4 7 3 4" xfId="2475" xr:uid="{3022920A-BEFD-4A0E-A21E-EC2D34AB99E8}"/>
    <cellStyle name="Normal 2 4 7 3 5" xfId="1646" xr:uid="{44AF2E64-1A36-4E45-9A3A-7B46E11CAF91}"/>
    <cellStyle name="Normal 2 4 7 3 6" xfId="11012" xr:uid="{31488287-4FFC-4035-9D25-80BB9215B78B}"/>
    <cellStyle name="Normal 2 4 7 4" xfId="2888" xr:uid="{B109A69F-1B4D-4673-88EB-F2DA5C56CB9C}"/>
    <cellStyle name="Normal 2 4 7 4 2" xfId="5117" xr:uid="{E7535341-1A7D-4BB5-ABF5-A6C0D680967D}"/>
    <cellStyle name="Normal 2 4 7 4 2 2" xfId="9335" xr:uid="{1F759599-0C4B-4B12-B9D3-941DDE578F44}"/>
    <cellStyle name="Normal 2 4 7 4 3" xfId="7190" xr:uid="{3C092BD4-343C-4C71-8CEB-43FF1CF7ADEC}"/>
    <cellStyle name="Normal 2 4 7 5" xfId="3301" xr:uid="{36D2E58A-2DB1-4135-9000-E833146F54BB}"/>
    <cellStyle name="Normal 2 4 7 5 2" xfId="5530" xr:uid="{E7EDDF1F-BD8B-406A-A8A8-2D568DE0ED65}"/>
    <cellStyle name="Normal 2 4 7 5 2 2" xfId="9748" xr:uid="{91982B09-8076-4B7F-B611-65BB93CE3215}"/>
    <cellStyle name="Normal 2 4 7 5 3" xfId="7603" xr:uid="{A760BF66-A5C6-4210-A528-5646C5962771}"/>
    <cellStyle name="Normal 2 4 7 6" xfId="3714" xr:uid="{66479E0A-C98F-45FD-89A3-F36F2F1E3E17}"/>
    <cellStyle name="Normal 2 4 7 6 2" xfId="5943" xr:uid="{9F93099D-1829-420A-B85B-9D380D15D3B1}"/>
    <cellStyle name="Normal 2 4 7 6 2 2" xfId="10161" xr:uid="{AE9827DE-5797-4E5D-B584-C70248821E71}"/>
    <cellStyle name="Normal 2 4 7 6 3" xfId="8016" xr:uid="{8743AE46-3422-4BEC-ACDB-33F93B6115E2}"/>
    <cellStyle name="Normal 2 4 7 7" xfId="4150" xr:uid="{113CB33F-233F-43DE-9027-59C572ACFDA1}"/>
    <cellStyle name="Normal 2 4 7 7 2" xfId="8429" xr:uid="{74AFAC30-4DFC-4621-98D8-C557ED8C83F1}"/>
    <cellStyle name="Normal 2 4 7 8" xfId="6363" xr:uid="{F690FCF0-FFE4-4D4E-B66A-143A8295C9E5}"/>
    <cellStyle name="Normal 2 4 7 9" xfId="2059" xr:uid="{B6B3BF31-5A62-419E-AD05-8B8C81CB2256}"/>
    <cellStyle name="Normal 2 4 8" xfId="317" xr:uid="{00000000-0005-0000-0000-000027020000}"/>
    <cellStyle name="Normal 2 4 8 10" xfId="10598" xr:uid="{EDD23D0C-D616-488B-8F5E-82915323815B}"/>
    <cellStyle name="Normal 2 4 8 2" xfId="810" xr:uid="{00000000-0005-0000-0000-000028020000}"/>
    <cellStyle name="Normal 2 4 8 2 2" xfId="4706" xr:uid="{0B5B54EE-4DAB-44B0-86C9-0D75A053DF27}"/>
    <cellStyle name="Normal 2 4 8 2 2 2" xfId="8924" xr:uid="{A8165E74-0DB8-4226-941B-9098D9EC7A6E}"/>
    <cellStyle name="Normal 2 4 8 2 3" xfId="6779" xr:uid="{6BDF94EE-44C3-47B4-9AAF-82BEE61C40C1}"/>
    <cellStyle name="Normal 2 4 8 2 4" xfId="2477" xr:uid="{78072F54-B3DB-482C-B008-0F2449BD262F}"/>
    <cellStyle name="Normal 2 4 8 2 5" xfId="1648" xr:uid="{D79C8B27-086D-4027-BC14-A21E04FA723C}"/>
    <cellStyle name="Normal 2 4 8 2 6" xfId="11014" xr:uid="{D8E0F201-6C85-4E07-9A03-A0E8A3D3D177}"/>
    <cellStyle name="Normal 2 4 8 3" xfId="2890" xr:uid="{2C6E07FF-D1DE-45C4-A797-607963461645}"/>
    <cellStyle name="Normal 2 4 8 3 2" xfId="5119" xr:uid="{570A1A04-A4BF-439F-AAF2-A88196C34877}"/>
    <cellStyle name="Normal 2 4 8 3 2 2" xfId="9337" xr:uid="{EBD24A40-1E1F-469B-B312-8DBFB017BD70}"/>
    <cellStyle name="Normal 2 4 8 3 3" xfId="7192" xr:uid="{865D323B-15DC-467F-BB0B-E97E32A8A819}"/>
    <cellStyle name="Normal 2 4 8 4" xfId="3303" xr:uid="{E62F666E-2361-4E72-AC46-6ED7FA68CF48}"/>
    <cellStyle name="Normal 2 4 8 4 2" xfId="5532" xr:uid="{0F1A2EC1-E400-4287-9983-B2638537D991}"/>
    <cellStyle name="Normal 2 4 8 4 2 2" xfId="9750" xr:uid="{A3AD5247-A678-4684-B687-8C9D0BDEC5C7}"/>
    <cellStyle name="Normal 2 4 8 4 3" xfId="7605" xr:uid="{C9D85B51-1991-49BC-8F53-5C0A4A43E1F2}"/>
    <cellStyle name="Normal 2 4 8 5" xfId="3716" xr:uid="{6A3CC3F7-F821-4195-AB7A-332357E813A4}"/>
    <cellStyle name="Normal 2 4 8 5 2" xfId="5945" xr:uid="{118E682A-34D0-41A9-8E3A-CBFF68459ECE}"/>
    <cellStyle name="Normal 2 4 8 5 2 2" xfId="10163" xr:uid="{BCA0B936-1B2B-4030-BB15-8BDB5E730BCE}"/>
    <cellStyle name="Normal 2 4 8 5 3" xfId="8018" xr:uid="{D9988A0E-4DB7-44B6-805F-56DEBBE73E97}"/>
    <cellStyle name="Normal 2 4 8 6" xfId="4152" xr:uid="{75F1E7C3-9494-430F-8879-7FD9CD9EF716}"/>
    <cellStyle name="Normal 2 4 8 6 2" xfId="8431" xr:uid="{1E34FB07-7B5B-413D-A5DA-1D5F0DEC4724}"/>
    <cellStyle name="Normal 2 4 8 7" xfId="6365" xr:uid="{F2906DBA-1415-40CE-8163-6339B4F841E5}"/>
    <cellStyle name="Normal 2 4 8 8" xfId="2061" xr:uid="{37C4228A-0E91-4ED2-9E0A-9770F4BB6E2E}"/>
    <cellStyle name="Normal 2 4 8 9" xfId="1232" xr:uid="{9DAB326D-938A-4422-9765-B11C74179216}"/>
    <cellStyle name="Normal 2 5" xfId="318" xr:uid="{00000000-0005-0000-0000-000029020000}"/>
    <cellStyle name="Normal 2 5 10" xfId="6366" xr:uid="{1C405DA4-DB3C-4C60-A079-03710D853B60}"/>
    <cellStyle name="Normal 2 5 11" xfId="2062" xr:uid="{05680F47-81BA-4B75-B683-6A221E2559CC}"/>
    <cellStyle name="Normal 2 5 12" xfId="1233" xr:uid="{3F152D18-3DAF-45A4-AD2F-6EBB3794DEBC}"/>
    <cellStyle name="Normal 2 5 13" xfId="10599" xr:uid="{6970336F-2CF0-4D10-98B6-D4A5A03BD79E}"/>
    <cellStyle name="Normal 2 5 2" xfId="319" xr:uid="{00000000-0005-0000-0000-00002A020000}"/>
    <cellStyle name="Normal 2 5 3" xfId="320" xr:uid="{00000000-0005-0000-0000-00002B020000}"/>
    <cellStyle name="Normal 2 5 4" xfId="321" xr:uid="{00000000-0005-0000-0000-00002C020000}"/>
    <cellStyle name="Normal 2 5 4 10" xfId="2063" xr:uid="{F21ABAD6-3403-466C-BC72-4C652992C959}"/>
    <cellStyle name="Normal 2 5 4 11" xfId="1234" xr:uid="{AC59B931-F78E-4044-AF8B-E84779094582}"/>
    <cellStyle name="Normal 2 5 4 12" xfId="10600" xr:uid="{908D40BB-12D7-4322-A947-A2F6710CEEA3}"/>
    <cellStyle name="Normal 2 5 4 2" xfId="322" xr:uid="{00000000-0005-0000-0000-00002D020000}"/>
    <cellStyle name="Normal 2 5 4 2 10" xfId="1235" xr:uid="{9DEF7602-E6DE-433A-9997-FF00F076BD7B}"/>
    <cellStyle name="Normal 2 5 4 2 11" xfId="10601" xr:uid="{52C069F5-116B-4760-9A74-F0422C955690}"/>
    <cellStyle name="Normal 2 5 4 2 2" xfId="323" xr:uid="{00000000-0005-0000-0000-00002E020000}"/>
    <cellStyle name="Normal 2 5 4 2 2 10" xfId="10602" xr:uid="{0834C2C1-91B8-4A79-8C4E-A6FDD09B2B30}"/>
    <cellStyle name="Normal 2 5 4 2 2 2" xfId="814" xr:uid="{00000000-0005-0000-0000-00002F020000}"/>
    <cellStyle name="Normal 2 5 4 2 2 2 2" xfId="4710" xr:uid="{57080F63-525C-4E70-BEFC-765614866350}"/>
    <cellStyle name="Normal 2 5 4 2 2 2 2 2" xfId="8928" xr:uid="{A0351831-7CEA-49D8-8676-C75130E5D92B}"/>
    <cellStyle name="Normal 2 5 4 2 2 2 3" xfId="6783" xr:uid="{DE701B1E-ECF0-429A-AA08-FC5AF4316936}"/>
    <cellStyle name="Normal 2 5 4 2 2 2 4" xfId="2481" xr:uid="{78403089-A80F-4930-89DC-101A6638A099}"/>
    <cellStyle name="Normal 2 5 4 2 2 2 5" xfId="1652" xr:uid="{06B79FD2-6D43-4874-A761-B4245F31D6AB}"/>
    <cellStyle name="Normal 2 5 4 2 2 2 6" xfId="11018" xr:uid="{609B6C6D-F1A2-4044-95A1-EA34A021674E}"/>
    <cellStyle name="Normal 2 5 4 2 2 3" xfId="2894" xr:uid="{F03AA1AE-D645-453A-9502-56E2FE175C5E}"/>
    <cellStyle name="Normal 2 5 4 2 2 3 2" xfId="5123" xr:uid="{0B1A51D9-F898-43A7-A225-5C6A75C1DF79}"/>
    <cellStyle name="Normal 2 5 4 2 2 3 2 2" xfId="9341" xr:uid="{7F6950B3-7807-45A6-993E-11AE567B3DCD}"/>
    <cellStyle name="Normal 2 5 4 2 2 3 3" xfId="7196" xr:uid="{72D7AFF9-B218-4056-8B32-E8212B0D47C4}"/>
    <cellStyle name="Normal 2 5 4 2 2 4" xfId="3307" xr:uid="{5C622286-E728-4272-A62C-4AB1065E972F}"/>
    <cellStyle name="Normal 2 5 4 2 2 4 2" xfId="5536" xr:uid="{18B1C23C-9DCB-45F8-9F93-4472580D27EF}"/>
    <cellStyle name="Normal 2 5 4 2 2 4 2 2" xfId="9754" xr:uid="{1C16E51C-9756-4C15-82EE-9E9D274EAC8B}"/>
    <cellStyle name="Normal 2 5 4 2 2 4 3" xfId="7609" xr:uid="{4A5812D6-5513-489B-936E-97E437C652BF}"/>
    <cellStyle name="Normal 2 5 4 2 2 5" xfId="3720" xr:uid="{DDD82E70-1C93-4B94-8832-83CEBAA826DB}"/>
    <cellStyle name="Normal 2 5 4 2 2 5 2" xfId="5949" xr:uid="{8D9E522E-F2EA-4407-A58F-92ECBDE4A215}"/>
    <cellStyle name="Normal 2 5 4 2 2 5 2 2" xfId="10167" xr:uid="{0F8B3F63-33E3-49E4-9F50-4AE76F339C04}"/>
    <cellStyle name="Normal 2 5 4 2 2 5 3" xfId="8022" xr:uid="{CAAE26EB-D3FD-47E1-ABAB-AE39A78BB936}"/>
    <cellStyle name="Normal 2 5 4 2 2 6" xfId="4156" xr:uid="{4D2C3CB9-3347-4F91-8DE1-70C1A160A06E}"/>
    <cellStyle name="Normal 2 5 4 2 2 6 2" xfId="8435" xr:uid="{13CDE698-8C92-473C-AD5F-4DEE02B15B90}"/>
    <cellStyle name="Normal 2 5 4 2 2 7" xfId="6369" xr:uid="{02E37101-2627-4B41-BEA6-6B05CE3DECDD}"/>
    <cellStyle name="Normal 2 5 4 2 2 8" xfId="2065" xr:uid="{A4581D2E-D634-41F7-9365-33E6B13F722E}"/>
    <cellStyle name="Normal 2 5 4 2 2 9" xfId="1236" xr:uid="{5016DF04-0E06-4F1C-9BDF-0AF4BA3E2698}"/>
    <cellStyle name="Normal 2 5 4 2 3" xfId="813" xr:uid="{00000000-0005-0000-0000-000030020000}"/>
    <cellStyle name="Normal 2 5 4 2 3 2" xfId="4709" xr:uid="{A006401D-84FD-4CE0-89A5-EA4B8954BAE5}"/>
    <cellStyle name="Normal 2 5 4 2 3 2 2" xfId="8927" xr:uid="{DC20004F-14E3-469B-B37C-42B4739C28FC}"/>
    <cellStyle name="Normal 2 5 4 2 3 3" xfId="6782" xr:uid="{FBD90D71-0F0D-43A4-85E9-1B762FE8FBB2}"/>
    <cellStyle name="Normal 2 5 4 2 3 4" xfId="2480" xr:uid="{C766716C-94E3-495C-9E11-7BDDDB0B7F09}"/>
    <cellStyle name="Normal 2 5 4 2 3 5" xfId="1651" xr:uid="{EDA9E841-A798-4FB3-9D4F-3DE31D896ACA}"/>
    <cellStyle name="Normal 2 5 4 2 3 6" xfId="11017" xr:uid="{EA39E0E1-A8C2-47A0-8101-A80BC1B59C88}"/>
    <cellStyle name="Normal 2 5 4 2 4" xfId="2893" xr:uid="{94F223C1-0253-4212-9F43-C75EB3B15C71}"/>
    <cellStyle name="Normal 2 5 4 2 4 2" xfId="5122" xr:uid="{F93AB99C-64F2-49E7-B82F-BB75F3F10A65}"/>
    <cellStyle name="Normal 2 5 4 2 4 2 2" xfId="9340" xr:uid="{E3BD0FBA-A9B1-4D43-A01F-8C318DA3C506}"/>
    <cellStyle name="Normal 2 5 4 2 4 3" xfId="7195" xr:uid="{A883DFCF-DC97-4023-B5B4-592FCC5C3943}"/>
    <cellStyle name="Normal 2 5 4 2 5" xfId="3306" xr:uid="{686A557C-C5F7-4574-B164-713E702C01EF}"/>
    <cellStyle name="Normal 2 5 4 2 5 2" xfId="5535" xr:uid="{3DDE8893-476F-43CA-B425-110AFA5B67DA}"/>
    <cellStyle name="Normal 2 5 4 2 5 2 2" xfId="9753" xr:uid="{BCF5E55B-ACF2-46D1-843F-EF1D04A3A8E1}"/>
    <cellStyle name="Normal 2 5 4 2 5 3" xfId="7608" xr:uid="{7ACE705E-815B-4886-BCFB-48171976C1F1}"/>
    <cellStyle name="Normal 2 5 4 2 6" xfId="3719" xr:uid="{32F96356-2C29-4BFF-B68F-994012C94261}"/>
    <cellStyle name="Normal 2 5 4 2 6 2" xfId="5948" xr:uid="{B7FA22C3-6C87-4EF3-94E7-69DAF10DE896}"/>
    <cellStyle name="Normal 2 5 4 2 6 2 2" xfId="10166" xr:uid="{53731E97-6804-4252-ACD7-15AFDCBEBC9C}"/>
    <cellStyle name="Normal 2 5 4 2 6 3" xfId="8021" xr:uid="{3614EAFA-4451-4196-9201-8771D3B8E8F4}"/>
    <cellStyle name="Normal 2 5 4 2 7" xfId="4155" xr:uid="{D31FE943-2FC1-425E-A2E7-ADE4C1E6070C}"/>
    <cellStyle name="Normal 2 5 4 2 7 2" xfId="8434" xr:uid="{1305FA11-54BD-4D11-8D12-F41A438B29BC}"/>
    <cellStyle name="Normal 2 5 4 2 8" xfId="6368" xr:uid="{F827EABA-F777-4AFD-9311-73EA2A621153}"/>
    <cellStyle name="Normal 2 5 4 2 9" xfId="2064" xr:uid="{BE6ABE6A-C852-4264-AC20-623890A7E650}"/>
    <cellStyle name="Normal 2 5 4 3" xfId="324" xr:uid="{00000000-0005-0000-0000-000031020000}"/>
    <cellStyle name="Normal 2 5 4 3 10" xfId="10603" xr:uid="{F72DD0FC-3497-49E0-AC28-A5FC2B214D81}"/>
    <cellStyle name="Normal 2 5 4 3 2" xfId="815" xr:uid="{00000000-0005-0000-0000-000032020000}"/>
    <cellStyle name="Normal 2 5 4 3 2 2" xfId="4711" xr:uid="{DAFA3630-CAC3-42CD-BB49-AB6B2989719B}"/>
    <cellStyle name="Normal 2 5 4 3 2 2 2" xfId="8929" xr:uid="{C0458E72-BE03-41D1-B23C-2551AFB90995}"/>
    <cellStyle name="Normal 2 5 4 3 2 3" xfId="6784" xr:uid="{A37C2407-1E7D-40A7-9578-9FD49D6F8DDB}"/>
    <cellStyle name="Normal 2 5 4 3 2 4" xfId="2482" xr:uid="{AEA39E50-C5FA-4AC6-A63A-C5C1979C763C}"/>
    <cellStyle name="Normal 2 5 4 3 2 5" xfId="1653" xr:uid="{F12228F3-9210-4ED1-8226-CFCE79FF9786}"/>
    <cellStyle name="Normal 2 5 4 3 2 6" xfId="11019" xr:uid="{46CBFCBC-98D5-436B-8B8B-827F8C57B9A8}"/>
    <cellStyle name="Normal 2 5 4 3 3" xfId="2895" xr:uid="{30F070A5-51F4-4198-A879-E344A54A4F98}"/>
    <cellStyle name="Normal 2 5 4 3 3 2" xfId="5124" xr:uid="{C958FBD1-97C1-4E40-8D78-C54FAC235FFC}"/>
    <cellStyle name="Normal 2 5 4 3 3 2 2" xfId="9342" xr:uid="{F1CDA930-2564-4850-A4AC-CCCA2BEE1DC4}"/>
    <cellStyle name="Normal 2 5 4 3 3 3" xfId="7197" xr:uid="{E01FFF70-ADA3-4FB6-8779-33CB3BC79195}"/>
    <cellStyle name="Normal 2 5 4 3 4" xfId="3308" xr:uid="{39BBB3A1-4727-4704-9DEE-35EACB513FC8}"/>
    <cellStyle name="Normal 2 5 4 3 4 2" xfId="5537" xr:uid="{C6B057B2-8E1D-4F80-B8C7-1A706F02E900}"/>
    <cellStyle name="Normal 2 5 4 3 4 2 2" xfId="9755" xr:uid="{89EAB9EC-C002-4866-AF84-4DF965E522AF}"/>
    <cellStyle name="Normal 2 5 4 3 4 3" xfId="7610" xr:uid="{F8C0B87E-02AE-43C9-A59B-EA128C3743DD}"/>
    <cellStyle name="Normal 2 5 4 3 5" xfId="3721" xr:uid="{1771EEC3-0E16-4295-A148-37181D312179}"/>
    <cellStyle name="Normal 2 5 4 3 5 2" xfId="5950" xr:uid="{DA2109AC-A041-4780-82D9-2B44ABF8605A}"/>
    <cellStyle name="Normal 2 5 4 3 5 2 2" xfId="10168" xr:uid="{61708BB4-2999-4292-A927-5EB9D55CDD5D}"/>
    <cellStyle name="Normal 2 5 4 3 5 3" xfId="8023" xr:uid="{69AE1D63-28B2-4CAF-9BEC-165E2CFF9988}"/>
    <cellStyle name="Normal 2 5 4 3 6" xfId="4157" xr:uid="{0F040B92-464D-463F-8EA6-DB29A613472A}"/>
    <cellStyle name="Normal 2 5 4 3 6 2" xfId="8436" xr:uid="{6DD4E87C-F8D9-487F-AE96-2AB5B6E935A7}"/>
    <cellStyle name="Normal 2 5 4 3 7" xfId="6370" xr:uid="{9B65C5E8-A29B-4FCA-9E72-6CFDC02456ED}"/>
    <cellStyle name="Normal 2 5 4 3 8" xfId="2066" xr:uid="{FC7E2ABE-996B-44C0-A5E0-862D330F9B3A}"/>
    <cellStyle name="Normal 2 5 4 3 9" xfId="1237" xr:uid="{1E8E1A0C-8E76-4D97-B9A9-2E79D78BABCE}"/>
    <cellStyle name="Normal 2 5 4 4" xfId="812" xr:uid="{00000000-0005-0000-0000-000033020000}"/>
    <cellStyle name="Normal 2 5 4 4 2" xfId="4708" xr:uid="{D18A1F13-1491-4FCF-9F6F-233618B96105}"/>
    <cellStyle name="Normal 2 5 4 4 2 2" xfId="8926" xr:uid="{25915184-862F-46A1-A3B1-FEE083B8AE8C}"/>
    <cellStyle name="Normal 2 5 4 4 3" xfId="6781" xr:uid="{63062B9A-F01B-4786-BD43-85504D660026}"/>
    <cellStyle name="Normal 2 5 4 4 4" xfId="2479" xr:uid="{B0DC43C1-0C5B-4067-BA7F-CE6EBD2B7DAF}"/>
    <cellStyle name="Normal 2 5 4 4 5" xfId="1650" xr:uid="{FD0FAE02-2615-45EE-B442-461CFCDAB35E}"/>
    <cellStyle name="Normal 2 5 4 4 6" xfId="11016" xr:uid="{50C69C1C-99CE-445C-BC7D-A35644B7452B}"/>
    <cellStyle name="Normal 2 5 4 5" xfId="2892" xr:uid="{26F9C790-9919-4BF1-944D-647191510FE3}"/>
    <cellStyle name="Normal 2 5 4 5 2" xfId="5121" xr:uid="{0616A696-5D1A-4076-BADA-0CE5CB9277EC}"/>
    <cellStyle name="Normal 2 5 4 5 2 2" xfId="9339" xr:uid="{36B35390-BD35-43DC-B4C9-C87BF1E1BDEB}"/>
    <cellStyle name="Normal 2 5 4 5 3" xfId="7194" xr:uid="{5F4930EE-E8D2-4695-BAC3-2B2CB1CE1B83}"/>
    <cellStyle name="Normal 2 5 4 6" xfId="3305" xr:uid="{88E433D0-E9F5-4785-A94C-CEB32F94128F}"/>
    <cellStyle name="Normal 2 5 4 6 2" xfId="5534" xr:uid="{92EE0D5A-15EB-4782-BBCC-11720EC433B6}"/>
    <cellStyle name="Normal 2 5 4 6 2 2" xfId="9752" xr:uid="{ABB9E335-1155-45FC-9075-18002DC3398D}"/>
    <cellStyle name="Normal 2 5 4 6 3" xfId="7607" xr:uid="{C142F2FE-F041-4C9C-AF53-8255D6F4F6C1}"/>
    <cellStyle name="Normal 2 5 4 7" xfId="3718" xr:uid="{B64C3A26-4158-445F-A3EF-9DD1EEFC3F91}"/>
    <cellStyle name="Normal 2 5 4 7 2" xfId="5947" xr:uid="{B17116B1-CF6B-49FA-ABF3-AB2C12D7F52A}"/>
    <cellStyle name="Normal 2 5 4 7 2 2" xfId="10165" xr:uid="{AEF1F81D-2065-471F-90E5-78D2CF8BF8DF}"/>
    <cellStyle name="Normal 2 5 4 7 3" xfId="8020" xr:uid="{AC6BE98A-E280-4319-B9FF-706E79B92905}"/>
    <cellStyle name="Normal 2 5 4 8" xfId="4154" xr:uid="{C23C59E0-0832-458F-B2B4-0A6A35533370}"/>
    <cellStyle name="Normal 2 5 4 8 2" xfId="8433" xr:uid="{177EEDAA-927D-479B-AD8E-61E8D1BB9970}"/>
    <cellStyle name="Normal 2 5 4 9" xfId="6367" xr:uid="{7454CD8E-7C80-4DC2-876B-4ED94AEF9DCC}"/>
    <cellStyle name="Normal 2 5 5" xfId="811" xr:uid="{00000000-0005-0000-0000-000034020000}"/>
    <cellStyle name="Normal 2 5 5 2" xfId="4707" xr:uid="{F78E41D0-B410-4350-A243-7AFAF05DC2F9}"/>
    <cellStyle name="Normal 2 5 5 2 2" xfId="8925" xr:uid="{4210569A-7803-4731-9220-5674E07431DB}"/>
    <cellStyle name="Normal 2 5 5 3" xfId="6780" xr:uid="{703D784F-9107-45F7-9563-5CB3FE570C15}"/>
    <cellStyle name="Normal 2 5 5 4" xfId="2478" xr:uid="{F25BCB44-2986-417D-BCFD-EDAD2514919E}"/>
    <cellStyle name="Normal 2 5 5 5" xfId="1649" xr:uid="{AA95DFDC-F8CE-4404-8244-7CE9EFA9C8F6}"/>
    <cellStyle name="Normal 2 5 5 6" xfId="11015" xr:uid="{E4825C67-47D2-402A-B46D-8E6E06201DAB}"/>
    <cellStyle name="Normal 2 5 6" xfId="2891" xr:uid="{5F9ADE9D-B9B7-41BC-BAE4-FA9514A759B7}"/>
    <cellStyle name="Normal 2 5 6 2" xfId="5120" xr:uid="{83E3426A-4E1B-4E09-B468-1A23EC34C68F}"/>
    <cellStyle name="Normal 2 5 6 2 2" xfId="9338" xr:uid="{EAA3645F-4A5A-40BB-B4D1-C3F33F043D5E}"/>
    <cellStyle name="Normal 2 5 6 3" xfId="7193" xr:uid="{DE14D9D8-5CCC-4CCD-A06A-A5F7F72EAF41}"/>
    <cellStyle name="Normal 2 5 7" xfId="3304" xr:uid="{466BB16A-9DB1-4317-9DE2-419FDD333CD2}"/>
    <cellStyle name="Normal 2 5 7 2" xfId="5533" xr:uid="{8823F9B2-6276-40D1-B79E-897301074542}"/>
    <cellStyle name="Normal 2 5 7 2 2" xfId="9751" xr:uid="{6DEBD40E-8704-42D0-9D0E-8F8B8CECF075}"/>
    <cellStyle name="Normal 2 5 7 3" xfId="7606" xr:uid="{B8204040-C092-4193-894F-EFFBB2DACF2C}"/>
    <cellStyle name="Normal 2 5 8" xfId="3717" xr:uid="{B90FF8BE-3C43-4E69-9A43-3F96D260C0C5}"/>
    <cellStyle name="Normal 2 5 8 2" xfId="5946" xr:uid="{C1B08791-C3EE-4A85-A481-3EDA86DB43D6}"/>
    <cellStyle name="Normal 2 5 8 2 2" xfId="10164" xr:uid="{DA622780-C487-4F06-8E0D-8EC4BB567AB6}"/>
    <cellStyle name="Normal 2 5 8 3" xfId="8019" xr:uid="{8396080E-E207-46D1-8560-0F2ECA0BD136}"/>
    <cellStyle name="Normal 2 5 9" xfId="4153" xr:uid="{17692B2B-DF41-4492-9E52-861C48D51E61}"/>
    <cellStyle name="Normal 2 5 9 2" xfId="8432" xr:uid="{EC4DF80E-B307-4060-B244-4CDB3714E21F}"/>
    <cellStyle name="Normal 2 6" xfId="325" xr:uid="{00000000-0005-0000-0000-000035020000}"/>
    <cellStyle name="Normal 2 7" xfId="2445" xr:uid="{8A4951D1-9170-49B9-8CAB-0BC06F7E0DA7}"/>
    <cellStyle name="Normal 2 8" xfId="574" xr:uid="{00000000-0005-0000-0000-000036020000}"/>
    <cellStyle name="Normal 3" xfId="326" xr:uid="{00000000-0005-0000-0000-000037020000}"/>
    <cellStyle name="Normal 3 2" xfId="327" xr:uid="{00000000-0005-0000-0000-000038020000}"/>
    <cellStyle name="Normal 3 2 10" xfId="2067" xr:uid="{9F2BF3FE-DDCC-482A-A39F-F615FDC4C80C}"/>
    <cellStyle name="Normal 3 2 11" xfId="1238" xr:uid="{E2A1ADFB-31C5-43DA-89E4-9E229781182A}"/>
    <cellStyle name="Normal 3 2 12" xfId="10604" xr:uid="{5DE90EAC-BA45-4F7E-AA0A-028639CDB67C}"/>
    <cellStyle name="Normal 3 2 2" xfId="328" xr:uid="{00000000-0005-0000-0000-000039020000}"/>
    <cellStyle name="Normal 3 2 2 2" xfId="818" xr:uid="{00000000-0005-0000-0000-00003A020000}"/>
    <cellStyle name="Normal 3 2 3" xfId="329" xr:uid="{00000000-0005-0000-0000-00003B020000}"/>
    <cellStyle name="Normal 3 2 3 10" xfId="2068" xr:uid="{92897E06-467F-4F55-A463-A640119AF4EF}"/>
    <cellStyle name="Normal 3 2 3 11" xfId="1239" xr:uid="{2175E919-DD6C-4C7E-9745-90B9772A2431}"/>
    <cellStyle name="Normal 3 2 3 12" xfId="10605" xr:uid="{C30B6650-263F-4CD6-BFD6-70DF95F149FB}"/>
    <cellStyle name="Normal 3 2 3 2" xfId="330" xr:uid="{00000000-0005-0000-0000-00003C020000}"/>
    <cellStyle name="Normal 3 2 3 2 10" xfId="1240" xr:uid="{8BB64FB5-BABD-4674-98C0-2F863DDF59B4}"/>
    <cellStyle name="Normal 3 2 3 2 11" xfId="10606" xr:uid="{6DCCF528-5AD5-42EE-8AEC-F7C51AAECCB0}"/>
    <cellStyle name="Normal 3 2 3 2 2" xfId="331" xr:uid="{00000000-0005-0000-0000-00003D020000}"/>
    <cellStyle name="Normal 3 2 3 2 2 10" xfId="10607" xr:uid="{7C0EC943-C464-4179-93A6-40D198B7686D}"/>
    <cellStyle name="Normal 3 2 3 2 2 2" xfId="821" xr:uid="{00000000-0005-0000-0000-00003E020000}"/>
    <cellStyle name="Normal 3 2 3 2 2 2 2" xfId="4715" xr:uid="{961CA0B5-2A45-4EF3-BC68-CF53632B1FE6}"/>
    <cellStyle name="Normal 3 2 3 2 2 2 2 2" xfId="8933" xr:uid="{EE29CD99-E5D5-4177-87D3-E2C61FE2F46F}"/>
    <cellStyle name="Normal 3 2 3 2 2 2 3" xfId="6788" xr:uid="{44383642-B222-40D1-B7AF-3831F275E25E}"/>
    <cellStyle name="Normal 3 2 3 2 2 2 4" xfId="2486" xr:uid="{9BC69C25-10F7-4BE6-A5FA-C3CEEFD4E114}"/>
    <cellStyle name="Normal 3 2 3 2 2 2 5" xfId="1657" xr:uid="{D2C69D40-0922-42F1-B228-369ED7D84B73}"/>
    <cellStyle name="Normal 3 2 3 2 2 2 6" xfId="11023" xr:uid="{9CAE12A2-F1F3-4C70-BBC7-DABB165AC037}"/>
    <cellStyle name="Normal 3 2 3 2 2 3" xfId="2899" xr:uid="{5D079EE3-0AA3-4605-8707-62FBFC0322C1}"/>
    <cellStyle name="Normal 3 2 3 2 2 3 2" xfId="5128" xr:uid="{86338226-4CCF-4293-8C2D-698342F1AFF7}"/>
    <cellStyle name="Normal 3 2 3 2 2 3 2 2" xfId="9346" xr:uid="{3F3B842E-A551-400B-8120-9063718F8182}"/>
    <cellStyle name="Normal 3 2 3 2 2 3 3" xfId="7201" xr:uid="{A7D88BC0-EED8-46BC-BADE-226FDA2B98B2}"/>
    <cellStyle name="Normal 3 2 3 2 2 4" xfId="3312" xr:uid="{B301B4CA-FFC7-425A-902A-39368715E9D8}"/>
    <cellStyle name="Normal 3 2 3 2 2 4 2" xfId="5541" xr:uid="{C70F87D7-450B-48EC-8B63-CAB9E68CF49C}"/>
    <cellStyle name="Normal 3 2 3 2 2 4 2 2" xfId="9759" xr:uid="{DD5AF5A4-7126-494B-86E1-B51882070372}"/>
    <cellStyle name="Normal 3 2 3 2 2 4 3" xfId="7614" xr:uid="{6D944AE3-9B9F-4751-92CB-B69C550DE984}"/>
    <cellStyle name="Normal 3 2 3 2 2 5" xfId="3725" xr:uid="{666356BE-06B0-42E2-A9B0-C5060C8374DB}"/>
    <cellStyle name="Normal 3 2 3 2 2 5 2" xfId="5954" xr:uid="{4FEC5177-8693-4AD5-864F-17F22A13D6C6}"/>
    <cellStyle name="Normal 3 2 3 2 2 5 2 2" xfId="10172" xr:uid="{7BD1FDA7-C862-43E7-B2CC-4FDF8C4DBE92}"/>
    <cellStyle name="Normal 3 2 3 2 2 5 3" xfId="8027" xr:uid="{4187F2D5-D515-450F-BFE4-2266C3ACDD08}"/>
    <cellStyle name="Normal 3 2 3 2 2 6" xfId="4161" xr:uid="{8ACB6055-EF15-48A7-ACA2-9B53835F5EF4}"/>
    <cellStyle name="Normal 3 2 3 2 2 6 2" xfId="8440" xr:uid="{FE50B393-A1E8-4973-9591-78AF24598709}"/>
    <cellStyle name="Normal 3 2 3 2 2 7" xfId="6374" xr:uid="{333FC4A1-0E9C-45D6-89E7-F89713D38FF5}"/>
    <cellStyle name="Normal 3 2 3 2 2 8" xfId="2070" xr:uid="{BCA7EF5F-96CF-4DE2-8736-C5BA7A13072B}"/>
    <cellStyle name="Normal 3 2 3 2 2 9" xfId="1241" xr:uid="{34CC3348-F411-4E71-9537-137002981914}"/>
    <cellStyle name="Normal 3 2 3 2 3" xfId="820" xr:uid="{00000000-0005-0000-0000-00003F020000}"/>
    <cellStyle name="Normal 3 2 3 2 3 2" xfId="4714" xr:uid="{16040627-C87D-40B3-AD5F-A3F1F7BA6770}"/>
    <cellStyle name="Normal 3 2 3 2 3 2 2" xfId="8932" xr:uid="{4F8B5761-28EB-4A63-A51B-6982473C2612}"/>
    <cellStyle name="Normal 3 2 3 2 3 3" xfId="6787" xr:uid="{82C9B928-3915-4036-8D88-370BF567F430}"/>
    <cellStyle name="Normal 3 2 3 2 3 4" xfId="2485" xr:uid="{96960B32-DF20-4AC4-97CE-3C0D16FCD89B}"/>
    <cellStyle name="Normal 3 2 3 2 3 5" xfId="1656" xr:uid="{D424E035-0F54-48E7-A24B-8FA43829E394}"/>
    <cellStyle name="Normal 3 2 3 2 3 6" xfId="11022" xr:uid="{43A4467D-428D-4871-8FB1-16F049E48886}"/>
    <cellStyle name="Normal 3 2 3 2 4" xfId="2898" xr:uid="{7A58FC85-A1FB-4DE0-B735-4DE474CE6AD3}"/>
    <cellStyle name="Normal 3 2 3 2 4 2" xfId="5127" xr:uid="{BEFE7023-73DF-4B54-8C33-B0790D5ED5C4}"/>
    <cellStyle name="Normal 3 2 3 2 4 2 2" xfId="9345" xr:uid="{8136D38C-C0B9-4759-A4ED-E20685ED1EEC}"/>
    <cellStyle name="Normal 3 2 3 2 4 3" xfId="7200" xr:uid="{D358FE8E-820A-46A2-AD6C-0D9FBB8A4668}"/>
    <cellStyle name="Normal 3 2 3 2 5" xfId="3311" xr:uid="{5E464FEF-05F8-470F-9A11-09AB2489AA39}"/>
    <cellStyle name="Normal 3 2 3 2 5 2" xfId="5540" xr:uid="{386C1A5E-3FA7-4940-A5C2-2E126FF4C778}"/>
    <cellStyle name="Normal 3 2 3 2 5 2 2" xfId="9758" xr:uid="{D3600427-FF73-4745-9CA4-7EB45E5CE33D}"/>
    <cellStyle name="Normal 3 2 3 2 5 3" xfId="7613" xr:uid="{5C0B38E8-C0F8-45B2-AF16-829135731256}"/>
    <cellStyle name="Normal 3 2 3 2 6" xfId="3724" xr:uid="{BB286E09-48FF-48A9-9EBD-6FD4C00BF427}"/>
    <cellStyle name="Normal 3 2 3 2 6 2" xfId="5953" xr:uid="{C17A3DD6-CF94-460E-A10B-3E6A6AAB712E}"/>
    <cellStyle name="Normal 3 2 3 2 6 2 2" xfId="10171" xr:uid="{0AED4280-3B62-46F2-9837-65CEF65070B3}"/>
    <cellStyle name="Normal 3 2 3 2 6 3" xfId="8026" xr:uid="{0BB0810A-816B-4765-ADB2-593544F3D43C}"/>
    <cellStyle name="Normal 3 2 3 2 7" xfId="4160" xr:uid="{98D99BAD-B2A1-40E0-9AAE-77E64577AB89}"/>
    <cellStyle name="Normal 3 2 3 2 7 2" xfId="8439" xr:uid="{0FA7E4E4-A35F-4839-9383-ACFF0155385C}"/>
    <cellStyle name="Normal 3 2 3 2 8" xfId="6373" xr:uid="{E7F48AF5-40AD-4A58-8F02-54264854BEC9}"/>
    <cellStyle name="Normal 3 2 3 2 9" xfId="2069" xr:uid="{62556A7F-8F67-4E31-90D0-FED4BE565A47}"/>
    <cellStyle name="Normal 3 2 3 3" xfId="332" xr:uid="{00000000-0005-0000-0000-000040020000}"/>
    <cellStyle name="Normal 3 2 3 3 10" xfId="10608" xr:uid="{E41857BE-D046-4B9D-9C10-0F1B785C32A0}"/>
    <cellStyle name="Normal 3 2 3 3 2" xfId="822" xr:uid="{00000000-0005-0000-0000-000041020000}"/>
    <cellStyle name="Normal 3 2 3 3 2 2" xfId="4716" xr:uid="{37C5C3F4-CBF2-4FB2-9D89-FAE5A2572A6A}"/>
    <cellStyle name="Normal 3 2 3 3 2 2 2" xfId="8934" xr:uid="{876C7B85-1695-4102-87C1-50098801F40F}"/>
    <cellStyle name="Normal 3 2 3 3 2 3" xfId="6789" xr:uid="{C4D0F428-DD87-41CF-B0ED-B29B3AB34DC0}"/>
    <cellStyle name="Normal 3 2 3 3 2 4" xfId="2487" xr:uid="{18EE5DFB-B596-4413-BCC8-298ABA478919}"/>
    <cellStyle name="Normal 3 2 3 3 2 5" xfId="1658" xr:uid="{9DF00CD4-203D-4F41-9BA6-4CDE9DED3B73}"/>
    <cellStyle name="Normal 3 2 3 3 2 6" xfId="11024" xr:uid="{E15C6640-C00D-445B-A575-2D36F8B4F85A}"/>
    <cellStyle name="Normal 3 2 3 3 3" xfId="2900" xr:uid="{5893C5AC-3B42-4558-8A96-66C7CD82F1C9}"/>
    <cellStyle name="Normal 3 2 3 3 3 2" xfId="5129" xr:uid="{A34A9755-DD3A-45B4-A7F9-131A6FE16D02}"/>
    <cellStyle name="Normal 3 2 3 3 3 2 2" xfId="9347" xr:uid="{BC09E32A-3026-43E4-8065-9B6548FC19E9}"/>
    <cellStyle name="Normal 3 2 3 3 3 3" xfId="7202" xr:uid="{E51D002D-F604-416D-A2BA-302684E8B542}"/>
    <cellStyle name="Normal 3 2 3 3 4" xfId="3313" xr:uid="{93E8A339-0845-40DC-AF72-DF71D53E336B}"/>
    <cellStyle name="Normal 3 2 3 3 4 2" xfId="5542" xr:uid="{491418EC-E641-4C4A-AC31-0FD425F7B090}"/>
    <cellStyle name="Normal 3 2 3 3 4 2 2" xfId="9760" xr:uid="{B1ED20A3-EED3-47C4-82E6-6B1D6D85F0E8}"/>
    <cellStyle name="Normal 3 2 3 3 4 3" xfId="7615" xr:uid="{60712241-AFB1-4C4D-8F7D-5224B572D313}"/>
    <cellStyle name="Normal 3 2 3 3 5" xfId="3726" xr:uid="{ED8C446A-45EA-4F5E-BA9D-2F444D764C6D}"/>
    <cellStyle name="Normal 3 2 3 3 5 2" xfId="5955" xr:uid="{74373CC1-419A-4A98-92AF-DAD77673C749}"/>
    <cellStyle name="Normal 3 2 3 3 5 2 2" xfId="10173" xr:uid="{490A6C2E-2F48-41A7-A8BD-6AC5BF02C495}"/>
    <cellStyle name="Normal 3 2 3 3 5 3" xfId="8028" xr:uid="{4C536679-77EE-46B0-BB16-73D2D3F71793}"/>
    <cellStyle name="Normal 3 2 3 3 6" xfId="4162" xr:uid="{C4222B35-C9AF-4940-8F49-B1F19A795C8E}"/>
    <cellStyle name="Normal 3 2 3 3 6 2" xfId="8441" xr:uid="{A305804A-219A-4356-989D-419FAFBACA77}"/>
    <cellStyle name="Normal 3 2 3 3 7" xfId="6375" xr:uid="{374D08FE-5F60-4EF9-A7D7-0B3ABCCC75E0}"/>
    <cellStyle name="Normal 3 2 3 3 8" xfId="2071" xr:uid="{BF205E12-1B14-4C11-A720-2C5685DDBE10}"/>
    <cellStyle name="Normal 3 2 3 3 9" xfId="1242" xr:uid="{7367AA6E-CD5D-451F-8006-0B8770E00D4F}"/>
    <cellStyle name="Normal 3 2 3 4" xfId="819" xr:uid="{00000000-0005-0000-0000-000042020000}"/>
    <cellStyle name="Normal 3 2 3 4 2" xfId="4713" xr:uid="{BCD4BD8F-A469-4877-9BF3-93EE147582A7}"/>
    <cellStyle name="Normal 3 2 3 4 2 2" xfId="8931" xr:uid="{9ECD3DC0-B6B6-456D-BEA4-4FD4FCAA7C7D}"/>
    <cellStyle name="Normal 3 2 3 4 3" xfId="6786" xr:uid="{407C8BA8-F45D-402C-A4CC-36650E94E05E}"/>
    <cellStyle name="Normal 3 2 3 4 4" xfId="2484" xr:uid="{BB63ABBF-28D9-4D9B-8580-2DCC30FBEB7D}"/>
    <cellStyle name="Normal 3 2 3 4 5" xfId="1655" xr:uid="{B1E7F8E3-CBBE-4FDE-9B23-5FE2E2AA6ECF}"/>
    <cellStyle name="Normal 3 2 3 4 6" xfId="11021" xr:uid="{BCA16CEC-4581-45F4-9839-77E3B8213FEA}"/>
    <cellStyle name="Normal 3 2 3 5" xfId="2897" xr:uid="{FE679F98-1183-4A4F-BA91-ED9CAC2B90AC}"/>
    <cellStyle name="Normal 3 2 3 5 2" xfId="5126" xr:uid="{CA2565A0-8295-4774-B6B3-97E363CE5966}"/>
    <cellStyle name="Normal 3 2 3 5 2 2" xfId="9344" xr:uid="{310D9DE6-E1E5-4137-A664-72763CBC2892}"/>
    <cellStyle name="Normal 3 2 3 5 3" xfId="7199" xr:uid="{005A1E93-AF92-402B-88B5-CD47CCCA0850}"/>
    <cellStyle name="Normal 3 2 3 6" xfId="3310" xr:uid="{75644C7B-27C6-482A-80AC-5024839B3F54}"/>
    <cellStyle name="Normal 3 2 3 6 2" xfId="5539" xr:uid="{FA0FA69A-A2C5-4330-B60D-DDB8AF52FC16}"/>
    <cellStyle name="Normal 3 2 3 6 2 2" xfId="9757" xr:uid="{7C35E72D-8771-4629-A4E5-999B2392D918}"/>
    <cellStyle name="Normal 3 2 3 6 3" xfId="7612" xr:uid="{28078385-07D1-4DA0-B605-EDF895BB4F03}"/>
    <cellStyle name="Normal 3 2 3 7" xfId="3723" xr:uid="{7DD2F71C-B553-4FED-9833-0034A7BA52B2}"/>
    <cellStyle name="Normal 3 2 3 7 2" xfId="5952" xr:uid="{B96751E8-0A59-44C9-92AE-DF46B2D96137}"/>
    <cellStyle name="Normal 3 2 3 7 2 2" xfId="10170" xr:uid="{348E3BF4-33D2-4E5C-B481-FD20DF5D2993}"/>
    <cellStyle name="Normal 3 2 3 7 3" xfId="8025" xr:uid="{387B3D57-D5BA-47B9-9679-1086364BB470}"/>
    <cellStyle name="Normal 3 2 3 8" xfId="4159" xr:uid="{802716FA-9C55-49CE-AD17-7F4F0A1CDFF3}"/>
    <cellStyle name="Normal 3 2 3 8 2" xfId="8438" xr:uid="{14122E4D-E82E-40CF-A38C-B342FBC2904B}"/>
    <cellStyle name="Normal 3 2 3 9" xfId="6372" xr:uid="{DDF8CFA8-0FD7-419A-A085-FBC1588F701F}"/>
    <cellStyle name="Normal 3 2 4" xfId="817" xr:uid="{00000000-0005-0000-0000-000043020000}"/>
    <cellStyle name="Normal 3 2 4 2" xfId="4712" xr:uid="{65FB52FF-A595-4BF0-9F5C-82C73AD8682D}"/>
    <cellStyle name="Normal 3 2 4 2 2" xfId="8930" xr:uid="{76435DD5-606B-4FC6-8A14-EC188311E12A}"/>
    <cellStyle name="Normal 3 2 4 3" xfId="6785" xr:uid="{BF1C8685-88BF-4402-ADA8-71728422FB53}"/>
    <cellStyle name="Normal 3 2 4 4" xfId="2483" xr:uid="{575760D8-289A-4A10-9AB1-2B15947872D8}"/>
    <cellStyle name="Normal 3 2 4 5" xfId="1654" xr:uid="{33C98742-2644-4E5F-885F-9438478CCF3A}"/>
    <cellStyle name="Normal 3 2 4 6" xfId="11020" xr:uid="{77F2F1B6-E96E-4B8E-B17E-B71059D5C397}"/>
    <cellStyle name="Normal 3 2 5" xfId="2896" xr:uid="{6DC25299-BAB7-446A-B572-806DEA8F4CCB}"/>
    <cellStyle name="Normal 3 2 5 2" xfId="5125" xr:uid="{3481FE43-FCE2-4E81-A7AC-35D20AFA810D}"/>
    <cellStyle name="Normal 3 2 5 2 2" xfId="9343" xr:uid="{9217CB0C-8435-4E0A-B93B-16005EB1A197}"/>
    <cellStyle name="Normal 3 2 5 3" xfId="7198" xr:uid="{9B4DC6B9-DD19-4C34-A8B1-B12B1BA71ADD}"/>
    <cellStyle name="Normal 3 2 6" xfId="3309" xr:uid="{7436F2F5-6DED-452E-B738-9A0526BBF2C7}"/>
    <cellStyle name="Normal 3 2 6 2" xfId="5538" xr:uid="{1B536913-90A7-4D11-B59C-BBCECB6DCAF2}"/>
    <cellStyle name="Normal 3 2 6 2 2" xfId="9756" xr:uid="{8D04E4D2-13C2-4D0A-A258-A666F286C16C}"/>
    <cellStyle name="Normal 3 2 6 3" xfId="7611" xr:uid="{0826B057-C21C-46FE-8E14-30B42B53CD65}"/>
    <cellStyle name="Normal 3 2 7" xfId="3722" xr:uid="{057CE187-27BD-4E08-9B08-39E888B9CFB0}"/>
    <cellStyle name="Normal 3 2 7 2" xfId="5951" xr:uid="{7EB427DE-1262-4B77-84FC-ADA5361BF3C5}"/>
    <cellStyle name="Normal 3 2 7 2 2" xfId="10169" xr:uid="{BBED9CFD-7BE2-44FB-9307-EE2E98038939}"/>
    <cellStyle name="Normal 3 2 7 3" xfId="8024" xr:uid="{9D5C02F0-59F9-4CAE-9A6D-927DDF62BF27}"/>
    <cellStyle name="Normal 3 2 8" xfId="4158" xr:uid="{F3E104ED-86B7-41C9-A9CD-2F987D423A06}"/>
    <cellStyle name="Normal 3 2 8 2" xfId="8437" xr:uid="{5F30B4C0-5283-4EF1-95D4-D7D400ADE68A}"/>
    <cellStyle name="Normal 3 2 9" xfId="6371" xr:uid="{3FF41B74-FF81-47A4-9929-5EEB28BA2DA3}"/>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34" xfId="10395" xr:uid="{1AF98BFF-1732-4176-9DDB-C31AEDCD3694}"/>
    <cellStyle name="Normal 34 2" xfId="11227" xr:uid="{C297DF91-CCC1-4083-AFF5-ED974299819E}"/>
    <cellStyle name="Normal 4" xfId="338" xr:uid="{00000000-0005-0000-0000-00004A020000}"/>
    <cellStyle name="Normal 4 10" xfId="2072" xr:uid="{6FA32D41-8F4A-4F2C-91B0-F6192DE0CFFC}"/>
    <cellStyle name="Normal 4 2" xfId="339" xr:uid="{00000000-0005-0000-0000-00004B020000}"/>
    <cellStyle name="Normal 4 2 2" xfId="340" xr:uid="{00000000-0005-0000-0000-00004C020000}"/>
    <cellStyle name="Normal 4 2 2 10" xfId="3727" xr:uid="{EA30B221-328E-42E7-8AA1-32A4A8F0B3BE}"/>
    <cellStyle name="Normal 4 2 2 10 2" xfId="5956" xr:uid="{134FD971-EB2D-408A-A1E9-75EC35FF6102}"/>
    <cellStyle name="Normal 4 2 2 10 2 2" xfId="10174" xr:uid="{33050F19-46E7-48AE-A2BD-0CC834E3B50B}"/>
    <cellStyle name="Normal 4 2 2 10 3" xfId="8029" xr:uid="{64C70572-B048-4080-8CD0-5028C491DC12}"/>
    <cellStyle name="Normal 4 2 2 11" xfId="4163" xr:uid="{A902E1C1-16DB-4A7F-860C-CEEB30F87E2E}"/>
    <cellStyle name="Normal 4 2 2 11 2" xfId="8442" xr:uid="{62D869C3-979A-418C-80DE-963A2CA5F3A1}"/>
    <cellStyle name="Normal 4 2 2 12" xfId="6377" xr:uid="{209B84D3-E390-4D02-9EB4-4F4AD68FD5A8}"/>
    <cellStyle name="Normal 4 2 2 13" xfId="2073" xr:uid="{41FF2068-A658-42EE-9806-316B56B9E1B2}"/>
    <cellStyle name="Normal 4 2 2 14" xfId="1243" xr:uid="{C25D8E8E-E76E-4855-BA1A-2F84554B0CB9}"/>
    <cellStyle name="Normal 4 2 2 15" xfId="10609" xr:uid="{3EB3C550-CBB8-4F35-B269-DA14248F714F}"/>
    <cellStyle name="Normal 4 2 2 2" xfId="341" xr:uid="{00000000-0005-0000-0000-00004D020000}"/>
    <cellStyle name="Normal 4 2 2 3" xfId="342" xr:uid="{00000000-0005-0000-0000-00004E020000}"/>
    <cellStyle name="Normal 4 2 2 3 10" xfId="6378" xr:uid="{5D7281DB-944E-4C05-ABE9-615BDEF4E909}"/>
    <cellStyle name="Normal 4 2 2 3 11" xfId="2074" xr:uid="{AE2561B3-75A5-48AB-A6A8-78F17687091C}"/>
    <cellStyle name="Normal 4 2 2 3 12" xfId="1244" xr:uid="{2A781EF5-BB5C-4B84-91BB-C6F9DF54E25D}"/>
    <cellStyle name="Normal 4 2 2 3 13" xfId="10610" xr:uid="{D7C62948-9704-4F82-BE85-6E86D6488BE3}"/>
    <cellStyle name="Normal 4 2 2 3 2" xfId="343" xr:uid="{00000000-0005-0000-0000-00004F020000}"/>
    <cellStyle name="Normal 4 2 2 3 2 10" xfId="2075" xr:uid="{E3A6B3A0-5C99-4983-9BC4-EA786B072225}"/>
    <cellStyle name="Normal 4 2 2 3 2 11" xfId="1245" xr:uid="{2D62F6AF-5E6B-4496-969B-4F256A78BCCF}"/>
    <cellStyle name="Normal 4 2 2 3 2 12" xfId="10611" xr:uid="{23C2030C-7B05-47EF-BE5A-C3A837DFD8E2}"/>
    <cellStyle name="Normal 4 2 2 3 2 2" xfId="344" xr:uid="{00000000-0005-0000-0000-000050020000}"/>
    <cellStyle name="Normal 4 2 2 3 2 2 10" xfId="1246" xr:uid="{ECBB5129-7811-4AB9-8AC4-E1D58D9775E4}"/>
    <cellStyle name="Normal 4 2 2 3 2 2 11" xfId="10612" xr:uid="{CF7E419E-F25C-43B0-B387-26ADE034F46A}"/>
    <cellStyle name="Normal 4 2 2 3 2 2 2" xfId="345" xr:uid="{00000000-0005-0000-0000-000051020000}"/>
    <cellStyle name="Normal 4 2 2 3 2 2 2 10" xfId="10613" xr:uid="{06EE8209-8701-4905-A1C6-BF6D24F25E8B}"/>
    <cellStyle name="Normal 4 2 2 3 2 2 2 2" xfId="827" xr:uid="{00000000-0005-0000-0000-000052020000}"/>
    <cellStyle name="Normal 4 2 2 3 2 2 2 2 2" xfId="4721" xr:uid="{4752BDFE-A450-47BC-A9F3-1AB9A342CA6A}"/>
    <cellStyle name="Normal 4 2 2 3 2 2 2 2 2 2" xfId="8939" xr:uid="{B0DA0886-2D9E-4D24-A17D-0DC1FA28894D}"/>
    <cellStyle name="Normal 4 2 2 3 2 2 2 2 3" xfId="6794" xr:uid="{CE4E1FED-6DF1-4B72-ABC9-20843E5EF6C0}"/>
    <cellStyle name="Normal 4 2 2 3 2 2 2 2 4" xfId="2492" xr:uid="{56AB5D4D-7F15-4156-A8E3-4074185B2C96}"/>
    <cellStyle name="Normal 4 2 2 3 2 2 2 2 5" xfId="1663" xr:uid="{AA148A59-10BF-401E-8033-7BC600DDB3CF}"/>
    <cellStyle name="Normal 4 2 2 3 2 2 2 2 6" xfId="11029" xr:uid="{67A5EBAB-7024-4A85-8730-AE63C39C0E6D}"/>
    <cellStyle name="Normal 4 2 2 3 2 2 2 3" xfId="2905" xr:uid="{B1E403C2-0628-47F4-B477-33D169DDA663}"/>
    <cellStyle name="Normal 4 2 2 3 2 2 2 3 2" xfId="5134" xr:uid="{9A60A203-EB6D-44BD-B6B2-BD68C1BC0652}"/>
    <cellStyle name="Normal 4 2 2 3 2 2 2 3 2 2" xfId="9352" xr:uid="{5516830A-1670-447D-A4ED-CE99EA50FED8}"/>
    <cellStyle name="Normal 4 2 2 3 2 2 2 3 3" xfId="7207" xr:uid="{0D6E0B8A-53B0-4853-912A-871C9AA3B28D}"/>
    <cellStyle name="Normal 4 2 2 3 2 2 2 4" xfId="3318" xr:uid="{5F714888-0AA0-4906-AD35-4562087D7323}"/>
    <cellStyle name="Normal 4 2 2 3 2 2 2 4 2" xfId="5547" xr:uid="{B8EF1CFA-77E7-4C41-8357-0A46264393FB}"/>
    <cellStyle name="Normal 4 2 2 3 2 2 2 4 2 2" xfId="9765" xr:uid="{DE0C00E8-C58A-415F-95EC-44C83F2F6640}"/>
    <cellStyle name="Normal 4 2 2 3 2 2 2 4 3" xfId="7620" xr:uid="{EFCB8277-8D0A-4D76-961F-8F31A6344FFE}"/>
    <cellStyle name="Normal 4 2 2 3 2 2 2 5" xfId="3731" xr:uid="{A0567129-B202-41AD-9F64-D565E6BD024A}"/>
    <cellStyle name="Normal 4 2 2 3 2 2 2 5 2" xfId="5960" xr:uid="{1E02B97B-E15A-44D4-BDDA-BCAAD537D6B9}"/>
    <cellStyle name="Normal 4 2 2 3 2 2 2 5 2 2" xfId="10178" xr:uid="{079AA6C2-4AC7-44F1-9E76-D938DD804D90}"/>
    <cellStyle name="Normal 4 2 2 3 2 2 2 5 3" xfId="8033" xr:uid="{27E3038E-CAB1-4C37-8F6E-DAEE401C37CE}"/>
    <cellStyle name="Normal 4 2 2 3 2 2 2 6" xfId="4167" xr:uid="{01E2C285-2B2E-4811-8BE9-D88429C8581C}"/>
    <cellStyle name="Normal 4 2 2 3 2 2 2 6 2" xfId="8446" xr:uid="{54EE35DA-739B-488D-A85A-28CC2D842035}"/>
    <cellStyle name="Normal 4 2 2 3 2 2 2 7" xfId="6381" xr:uid="{20EC707A-ADDB-45C7-8E36-E0AD5F3E77E0}"/>
    <cellStyle name="Normal 4 2 2 3 2 2 2 8" xfId="2077" xr:uid="{0980A80E-434F-4555-8E11-06294A3A9807}"/>
    <cellStyle name="Normal 4 2 2 3 2 2 2 9" xfId="1247" xr:uid="{D7419449-35E2-40B2-BB3A-B60CD772E041}"/>
    <cellStyle name="Normal 4 2 2 3 2 2 3" xfId="826" xr:uid="{00000000-0005-0000-0000-000053020000}"/>
    <cellStyle name="Normal 4 2 2 3 2 2 3 2" xfId="4720" xr:uid="{C15AA3B9-503E-44AB-936B-8132968E2029}"/>
    <cellStyle name="Normal 4 2 2 3 2 2 3 2 2" xfId="8938" xr:uid="{5C98B579-DC3B-4209-9F78-D125D98708A9}"/>
    <cellStyle name="Normal 4 2 2 3 2 2 3 3" xfId="6793" xr:uid="{6391B7D2-2E9D-4D2B-B556-8E163ABC627A}"/>
    <cellStyle name="Normal 4 2 2 3 2 2 3 4" xfId="2491" xr:uid="{596E470C-1C91-4B14-A2AF-88CC8EC1DEF9}"/>
    <cellStyle name="Normal 4 2 2 3 2 2 3 5" xfId="1662" xr:uid="{0AE0A931-F29E-4671-AAB6-4574BAFF38DA}"/>
    <cellStyle name="Normal 4 2 2 3 2 2 3 6" xfId="11028" xr:uid="{8F9C9225-B9B3-4E7F-AAC4-2EE19D5F01E5}"/>
    <cellStyle name="Normal 4 2 2 3 2 2 4" xfId="2904" xr:uid="{D07AC9DA-9694-4693-8CC5-8754FF3E65D4}"/>
    <cellStyle name="Normal 4 2 2 3 2 2 4 2" xfId="5133" xr:uid="{5AB4DB71-333B-4AFA-A0B5-819512365DD7}"/>
    <cellStyle name="Normal 4 2 2 3 2 2 4 2 2" xfId="9351" xr:uid="{5BD7B76C-3004-49D5-B536-3BFE50E55DA4}"/>
    <cellStyle name="Normal 4 2 2 3 2 2 4 3" xfId="7206" xr:uid="{68B69441-6265-4E27-B8D2-C2781D78F091}"/>
    <cellStyle name="Normal 4 2 2 3 2 2 5" xfId="3317" xr:uid="{C77D3A31-4AE1-4309-B001-CBF843714822}"/>
    <cellStyle name="Normal 4 2 2 3 2 2 5 2" xfId="5546" xr:uid="{0A8F4BAD-E912-4DE7-91A3-057D5FD46C7A}"/>
    <cellStyle name="Normal 4 2 2 3 2 2 5 2 2" xfId="9764" xr:uid="{26F1BC65-FBC3-4D9B-A2FD-08BF364D0427}"/>
    <cellStyle name="Normal 4 2 2 3 2 2 5 3" xfId="7619" xr:uid="{241A8A69-76D4-4CE2-94B5-669B7A59F7B2}"/>
    <cellStyle name="Normal 4 2 2 3 2 2 6" xfId="3730" xr:uid="{2B44180E-339F-4034-BD2A-61DF1CBC6FF0}"/>
    <cellStyle name="Normal 4 2 2 3 2 2 6 2" xfId="5959" xr:uid="{FFEB42EB-C075-4BF0-9E8E-3722247D335B}"/>
    <cellStyle name="Normal 4 2 2 3 2 2 6 2 2" xfId="10177" xr:uid="{63752216-6E47-4D6E-BD74-B2E2D45DC11D}"/>
    <cellStyle name="Normal 4 2 2 3 2 2 6 3" xfId="8032" xr:uid="{FE64E168-AFAE-4917-9029-9368F8E81D78}"/>
    <cellStyle name="Normal 4 2 2 3 2 2 7" xfId="4166" xr:uid="{7E83F89E-C542-4742-A0CA-E72D25FC3A90}"/>
    <cellStyle name="Normal 4 2 2 3 2 2 7 2" xfId="8445" xr:uid="{B284388C-0F7F-4DB7-BB27-480E9DA2E886}"/>
    <cellStyle name="Normal 4 2 2 3 2 2 8" xfId="6380" xr:uid="{9DDEAF7C-FD49-4637-8311-EC2D2D4EFAE4}"/>
    <cellStyle name="Normal 4 2 2 3 2 2 9" xfId="2076" xr:uid="{02354763-32B4-496C-9497-89EC0BECC0C3}"/>
    <cellStyle name="Normal 4 2 2 3 2 3" xfId="346" xr:uid="{00000000-0005-0000-0000-000054020000}"/>
    <cellStyle name="Normal 4 2 2 3 2 3 10" xfId="10614" xr:uid="{34FA8782-6124-4136-81C4-AD8091CFDE3E}"/>
    <cellStyle name="Normal 4 2 2 3 2 3 2" xfId="828" xr:uid="{00000000-0005-0000-0000-000055020000}"/>
    <cellStyle name="Normal 4 2 2 3 2 3 2 2" xfId="4722" xr:uid="{1B664D09-451E-4258-83BF-9A20E07BC001}"/>
    <cellStyle name="Normal 4 2 2 3 2 3 2 2 2" xfId="8940" xr:uid="{5E508099-622F-4E18-B77E-C682AF45A665}"/>
    <cellStyle name="Normal 4 2 2 3 2 3 2 3" xfId="6795" xr:uid="{BD8D9224-1779-4CCE-98D7-27590B178356}"/>
    <cellStyle name="Normal 4 2 2 3 2 3 2 4" xfId="2493" xr:uid="{13A41C17-93C9-4AB3-86FA-31177CFB1F34}"/>
    <cellStyle name="Normal 4 2 2 3 2 3 2 5" xfId="1664" xr:uid="{9C1B66B4-D469-4E84-BEC8-83CF1589BDCA}"/>
    <cellStyle name="Normal 4 2 2 3 2 3 2 6" xfId="11030" xr:uid="{4E419B3E-1BB9-4913-9CF2-3A87B42E6AC2}"/>
    <cellStyle name="Normal 4 2 2 3 2 3 3" xfId="2906" xr:uid="{10B58813-6AA3-4184-A953-0E2D724B65E5}"/>
    <cellStyle name="Normal 4 2 2 3 2 3 3 2" xfId="5135" xr:uid="{FEAE23BE-A510-4607-8CF7-29DD8F529AA5}"/>
    <cellStyle name="Normal 4 2 2 3 2 3 3 2 2" xfId="9353" xr:uid="{75AFFB6C-3841-419D-B556-589D2C26FDE2}"/>
    <cellStyle name="Normal 4 2 2 3 2 3 3 3" xfId="7208" xr:uid="{73AAAF60-9467-4DE9-88FF-F6D1E0D56BB9}"/>
    <cellStyle name="Normal 4 2 2 3 2 3 4" xfId="3319" xr:uid="{A36D85DF-A895-4115-B0F2-5BDCD261606E}"/>
    <cellStyle name="Normal 4 2 2 3 2 3 4 2" xfId="5548" xr:uid="{FC216CC2-51AB-4EAB-B93A-8535008429EA}"/>
    <cellStyle name="Normal 4 2 2 3 2 3 4 2 2" xfId="9766" xr:uid="{7E53D16F-F25F-4348-B59E-B9C19D243A05}"/>
    <cellStyle name="Normal 4 2 2 3 2 3 4 3" xfId="7621" xr:uid="{5064E11A-BDF1-48E4-B263-EB9F1F82FA74}"/>
    <cellStyle name="Normal 4 2 2 3 2 3 5" xfId="3732" xr:uid="{1613CFAD-7C97-4FA5-B751-274DEF16E5ED}"/>
    <cellStyle name="Normal 4 2 2 3 2 3 5 2" xfId="5961" xr:uid="{45C45A9E-7D36-4D1B-83C7-20FE20A28905}"/>
    <cellStyle name="Normal 4 2 2 3 2 3 5 2 2" xfId="10179" xr:uid="{0878E215-C20A-445B-BF9A-B7080C7968E1}"/>
    <cellStyle name="Normal 4 2 2 3 2 3 5 3" xfId="8034" xr:uid="{B254575D-016D-4642-A488-E6C6B6D31830}"/>
    <cellStyle name="Normal 4 2 2 3 2 3 6" xfId="4168" xr:uid="{51DCC995-88A5-468F-9065-B1D36C82EA41}"/>
    <cellStyle name="Normal 4 2 2 3 2 3 6 2" xfId="8447" xr:uid="{337BE2FB-E7C2-42F5-8E67-C98CD6DC1FB3}"/>
    <cellStyle name="Normal 4 2 2 3 2 3 7" xfId="6382" xr:uid="{8786F3C9-E5B9-42E7-96EA-26C8D6811D23}"/>
    <cellStyle name="Normal 4 2 2 3 2 3 8" xfId="2078" xr:uid="{5461C88F-D8A7-4B82-BD2F-CC4D4DB9D09D}"/>
    <cellStyle name="Normal 4 2 2 3 2 3 9" xfId="1248" xr:uid="{902D3E90-9747-472E-A338-A172DF37031B}"/>
    <cellStyle name="Normal 4 2 2 3 2 4" xfId="825" xr:uid="{00000000-0005-0000-0000-000056020000}"/>
    <cellStyle name="Normal 4 2 2 3 2 4 2" xfId="4719" xr:uid="{CA0BA5FC-CD80-4986-8370-F749F4C9457A}"/>
    <cellStyle name="Normal 4 2 2 3 2 4 2 2" xfId="8937" xr:uid="{EA231B90-9904-4903-A73E-2A2040D32379}"/>
    <cellStyle name="Normal 4 2 2 3 2 4 3" xfId="6792" xr:uid="{AB39EC2F-BE6B-491A-8057-06963C873813}"/>
    <cellStyle name="Normal 4 2 2 3 2 4 4" xfId="2490" xr:uid="{B9C6D2E9-02C0-4DB5-980D-043E4657C8AA}"/>
    <cellStyle name="Normal 4 2 2 3 2 4 5" xfId="1661" xr:uid="{78101C10-BA8D-4B73-9368-2B99BE5C2488}"/>
    <cellStyle name="Normal 4 2 2 3 2 4 6" xfId="11027" xr:uid="{5F9A0A8F-56CC-440A-BFF4-22F53CFE5F03}"/>
    <cellStyle name="Normal 4 2 2 3 2 5" xfId="2903" xr:uid="{ADB34637-C3AD-4099-A7E7-E37BE939BC96}"/>
    <cellStyle name="Normal 4 2 2 3 2 5 2" xfId="5132" xr:uid="{5126D198-F877-4865-A031-FC3B3C5E06DB}"/>
    <cellStyle name="Normal 4 2 2 3 2 5 2 2" xfId="9350" xr:uid="{9B2E8CFC-3F8E-4F76-8EC7-D1F0BE110999}"/>
    <cellStyle name="Normal 4 2 2 3 2 5 3" xfId="7205" xr:uid="{BE63EF3D-FA76-49F3-B374-873605BAD22D}"/>
    <cellStyle name="Normal 4 2 2 3 2 6" xfId="3316" xr:uid="{4CCB7964-F778-47FE-8F56-F9BEFC5EE329}"/>
    <cellStyle name="Normal 4 2 2 3 2 6 2" xfId="5545" xr:uid="{29390F4F-E836-490E-B7C7-39D80BCD4CDA}"/>
    <cellStyle name="Normal 4 2 2 3 2 6 2 2" xfId="9763" xr:uid="{2ED0ACA8-5502-489F-8CFC-9C68E031350C}"/>
    <cellStyle name="Normal 4 2 2 3 2 6 3" xfId="7618" xr:uid="{E0C7C1D2-C2A7-47CD-B384-C9A17C5CE9F9}"/>
    <cellStyle name="Normal 4 2 2 3 2 7" xfId="3729" xr:uid="{173C6C47-9EDD-44E9-814F-C0CA082E7653}"/>
    <cellStyle name="Normal 4 2 2 3 2 7 2" xfId="5958" xr:uid="{BE28DF3B-D9DC-4B2D-9105-533797B0FC99}"/>
    <cellStyle name="Normal 4 2 2 3 2 7 2 2" xfId="10176" xr:uid="{9E50A4FD-450A-4232-A933-F6FC31235475}"/>
    <cellStyle name="Normal 4 2 2 3 2 7 3" xfId="8031" xr:uid="{A17F6BB8-D043-47C0-8A9B-B52D22A590CA}"/>
    <cellStyle name="Normal 4 2 2 3 2 8" xfId="4165" xr:uid="{6FF48C0B-539A-4D22-B880-496804BD695E}"/>
    <cellStyle name="Normal 4 2 2 3 2 8 2" xfId="8444" xr:uid="{D8DF3ACF-22E7-4DEB-B277-C08D0DEB0C42}"/>
    <cellStyle name="Normal 4 2 2 3 2 9" xfId="6379" xr:uid="{0CBF6E8B-B0F2-4324-A723-B806B2E97DA5}"/>
    <cellStyle name="Normal 4 2 2 3 3" xfId="347" xr:uid="{00000000-0005-0000-0000-000057020000}"/>
    <cellStyle name="Normal 4 2 2 3 3 10" xfId="1249" xr:uid="{FFF3B9B1-0501-4576-9315-7DA6C1265A06}"/>
    <cellStyle name="Normal 4 2 2 3 3 11" xfId="10615" xr:uid="{983C109C-14B2-4246-B947-D0621D259568}"/>
    <cellStyle name="Normal 4 2 2 3 3 2" xfId="348" xr:uid="{00000000-0005-0000-0000-000058020000}"/>
    <cellStyle name="Normal 4 2 2 3 3 2 10" xfId="10616" xr:uid="{AD9DA40D-EC88-4BBA-A26B-6FE8A4C2C095}"/>
    <cellStyle name="Normal 4 2 2 3 3 2 2" xfId="830" xr:uid="{00000000-0005-0000-0000-000059020000}"/>
    <cellStyle name="Normal 4 2 2 3 3 2 2 2" xfId="4724" xr:uid="{5E915439-9CC8-433C-B202-9F9CAD43F3E2}"/>
    <cellStyle name="Normal 4 2 2 3 3 2 2 2 2" xfId="8942" xr:uid="{F47B0A08-2CDF-4B82-9434-127E6510E473}"/>
    <cellStyle name="Normal 4 2 2 3 3 2 2 3" xfId="6797" xr:uid="{12355BBE-32A9-4A66-83BF-DADC44DACE4D}"/>
    <cellStyle name="Normal 4 2 2 3 3 2 2 4" xfId="2495" xr:uid="{2D967764-5A2F-4D48-AC8B-29E0B885CA93}"/>
    <cellStyle name="Normal 4 2 2 3 3 2 2 5" xfId="1666" xr:uid="{040DC20D-3EFD-41D2-9711-15380E1D2265}"/>
    <cellStyle name="Normal 4 2 2 3 3 2 2 6" xfId="11032" xr:uid="{FA5950A6-0532-48BA-8EF2-09B906FB79B3}"/>
    <cellStyle name="Normal 4 2 2 3 3 2 3" xfId="2908" xr:uid="{39FB78FB-0FEE-4A5D-8E66-924F27477E15}"/>
    <cellStyle name="Normal 4 2 2 3 3 2 3 2" xfId="5137" xr:uid="{033E9319-B9AC-4E68-8586-065C775C7EEC}"/>
    <cellStyle name="Normal 4 2 2 3 3 2 3 2 2" xfId="9355" xr:uid="{A59249E3-D852-436A-BECF-56C002EB6085}"/>
    <cellStyle name="Normal 4 2 2 3 3 2 3 3" xfId="7210" xr:uid="{50839E91-C1F5-462B-AE0E-2CFBBA050D65}"/>
    <cellStyle name="Normal 4 2 2 3 3 2 4" xfId="3321" xr:uid="{6D9D76DB-7534-4B0E-BC67-B6FD45319ED1}"/>
    <cellStyle name="Normal 4 2 2 3 3 2 4 2" xfId="5550" xr:uid="{B722687C-7730-41F3-9FE2-97364B2F44D0}"/>
    <cellStyle name="Normal 4 2 2 3 3 2 4 2 2" xfId="9768" xr:uid="{37025D21-A737-4051-83D2-D214653C9120}"/>
    <cellStyle name="Normal 4 2 2 3 3 2 4 3" xfId="7623" xr:uid="{E8A0BD9F-FE56-4D81-9341-67F4571A39FF}"/>
    <cellStyle name="Normal 4 2 2 3 3 2 5" xfId="3734" xr:uid="{97BDCAB9-B251-48FC-BA1A-9EF140B57BE9}"/>
    <cellStyle name="Normal 4 2 2 3 3 2 5 2" xfId="5963" xr:uid="{C939C5F5-74A2-4C69-828D-92E5D5D99DEA}"/>
    <cellStyle name="Normal 4 2 2 3 3 2 5 2 2" xfId="10181" xr:uid="{84223C09-5CEA-4F46-9F9D-C7DA84BA937E}"/>
    <cellStyle name="Normal 4 2 2 3 3 2 5 3" xfId="8036" xr:uid="{7A5B66F8-EDD0-4725-8767-5F0E09967E63}"/>
    <cellStyle name="Normal 4 2 2 3 3 2 6" xfId="4170" xr:uid="{1CA5D82D-AEB2-492B-9113-F5A3321B5569}"/>
    <cellStyle name="Normal 4 2 2 3 3 2 6 2" xfId="8449" xr:uid="{41EEF814-97A9-4694-A71D-2BDD6FB671A8}"/>
    <cellStyle name="Normal 4 2 2 3 3 2 7" xfId="6384" xr:uid="{391AED44-86D4-49EA-8C6D-41E33CB23B93}"/>
    <cellStyle name="Normal 4 2 2 3 3 2 8" xfId="2080" xr:uid="{9235111E-D9B8-4D2E-BC2C-B80346EDEED9}"/>
    <cellStyle name="Normal 4 2 2 3 3 2 9" xfId="1250" xr:uid="{D9BD3279-239C-4CAC-8E30-F38CE93F12E1}"/>
    <cellStyle name="Normal 4 2 2 3 3 3" xfId="829" xr:uid="{00000000-0005-0000-0000-00005A020000}"/>
    <cellStyle name="Normal 4 2 2 3 3 3 2" xfId="4723" xr:uid="{A5414A5C-DBA3-473A-8AE8-AA480E208753}"/>
    <cellStyle name="Normal 4 2 2 3 3 3 2 2" xfId="8941" xr:uid="{7F7DE84E-6065-4CC3-A942-E1F0EA214D56}"/>
    <cellStyle name="Normal 4 2 2 3 3 3 3" xfId="6796" xr:uid="{582C9669-E0D5-4154-80E5-B5C9BB6952D9}"/>
    <cellStyle name="Normal 4 2 2 3 3 3 4" xfId="2494" xr:uid="{8D09A8B8-3CB3-4402-9B1D-2231F15BD7E8}"/>
    <cellStyle name="Normal 4 2 2 3 3 3 5" xfId="1665" xr:uid="{01611B89-FA32-45EC-A504-12561425A417}"/>
    <cellStyle name="Normal 4 2 2 3 3 3 6" xfId="11031" xr:uid="{AC3A20F8-D52B-4CF8-A5DB-FCAB5865E7D2}"/>
    <cellStyle name="Normal 4 2 2 3 3 4" xfId="2907" xr:uid="{BD7EE753-1648-469B-BC10-27126808C532}"/>
    <cellStyle name="Normal 4 2 2 3 3 4 2" xfId="5136" xr:uid="{5A911264-1A80-4D96-BF03-9D818C623C31}"/>
    <cellStyle name="Normal 4 2 2 3 3 4 2 2" xfId="9354" xr:uid="{6EE2D6E5-718B-4874-B42A-E64CDCE1E45E}"/>
    <cellStyle name="Normal 4 2 2 3 3 4 3" xfId="7209" xr:uid="{22479762-DE73-47B8-BE30-E341FE5D55B4}"/>
    <cellStyle name="Normal 4 2 2 3 3 5" xfId="3320" xr:uid="{F24ECC65-CA4D-484A-A2FB-DEDEEC9E8EEB}"/>
    <cellStyle name="Normal 4 2 2 3 3 5 2" xfId="5549" xr:uid="{29A6921D-7322-49E9-8C62-3F2354C9C001}"/>
    <cellStyle name="Normal 4 2 2 3 3 5 2 2" xfId="9767" xr:uid="{FC54E374-C142-4E4A-9DE8-25D23B04706E}"/>
    <cellStyle name="Normal 4 2 2 3 3 5 3" xfId="7622" xr:uid="{F70139B0-9C43-48FC-A8CF-7DA7E1EB05E9}"/>
    <cellStyle name="Normal 4 2 2 3 3 6" xfId="3733" xr:uid="{97AFF429-C591-4701-A753-0309549D9659}"/>
    <cellStyle name="Normal 4 2 2 3 3 6 2" xfId="5962" xr:uid="{FFD61F73-AEF9-4BFA-B359-60A78C5EB876}"/>
    <cellStyle name="Normal 4 2 2 3 3 6 2 2" xfId="10180" xr:uid="{B129C814-DAFA-4AC8-9D48-E34BD3B71A7E}"/>
    <cellStyle name="Normal 4 2 2 3 3 6 3" xfId="8035" xr:uid="{D6A558D2-ADCC-40C2-B936-CE8A05A10FD4}"/>
    <cellStyle name="Normal 4 2 2 3 3 7" xfId="4169" xr:uid="{CD570361-88AF-43FB-B969-391129617C0F}"/>
    <cellStyle name="Normal 4 2 2 3 3 7 2" xfId="8448" xr:uid="{A4025817-55E8-4F93-B957-C06FC8E37800}"/>
    <cellStyle name="Normal 4 2 2 3 3 8" xfId="6383" xr:uid="{6C4B90AF-1340-4CB2-8D77-CFECA9702957}"/>
    <cellStyle name="Normal 4 2 2 3 3 9" xfId="2079" xr:uid="{FA03972D-D284-4491-9617-0A2F2F90E2B8}"/>
    <cellStyle name="Normal 4 2 2 3 4" xfId="349" xr:uid="{00000000-0005-0000-0000-00005B020000}"/>
    <cellStyle name="Normal 4 2 2 3 4 10" xfId="10617" xr:uid="{A286B2D1-55E5-47FC-8A68-A08C29F91B06}"/>
    <cellStyle name="Normal 4 2 2 3 4 2" xfId="831" xr:uid="{00000000-0005-0000-0000-00005C020000}"/>
    <cellStyle name="Normal 4 2 2 3 4 2 2" xfId="4725" xr:uid="{942E072D-0B11-40FF-B8BB-8BDBE89027ED}"/>
    <cellStyle name="Normal 4 2 2 3 4 2 2 2" xfId="8943" xr:uid="{0F51E300-5CBC-4679-8BA5-322F2A9F6C6E}"/>
    <cellStyle name="Normal 4 2 2 3 4 2 3" xfId="6798" xr:uid="{EC876C7F-4A65-41B2-A395-41914C0BABA8}"/>
    <cellStyle name="Normal 4 2 2 3 4 2 4" xfId="2496" xr:uid="{828E5F24-7AE8-4D33-A739-10CC15424782}"/>
    <cellStyle name="Normal 4 2 2 3 4 2 5" xfId="1667" xr:uid="{F1227FCC-E7D7-4D00-A0D5-D6731E6D2488}"/>
    <cellStyle name="Normal 4 2 2 3 4 2 6" xfId="11033" xr:uid="{50C2B8AA-9B83-4279-8FBD-4327D6620163}"/>
    <cellStyle name="Normal 4 2 2 3 4 3" xfId="2909" xr:uid="{E0784380-C91E-4260-B7C6-396DD76A6A6B}"/>
    <cellStyle name="Normal 4 2 2 3 4 3 2" xfId="5138" xr:uid="{7E85BBB7-63DF-4089-8785-C710C1068D06}"/>
    <cellStyle name="Normal 4 2 2 3 4 3 2 2" xfId="9356" xr:uid="{B36999CA-11CB-45F5-BB44-60008C01A571}"/>
    <cellStyle name="Normal 4 2 2 3 4 3 3" xfId="7211" xr:uid="{7E04BD0F-267D-4BEC-825D-CAB2CAF6E65D}"/>
    <cellStyle name="Normal 4 2 2 3 4 4" xfId="3322" xr:uid="{2EAA57CE-239C-4C9E-8905-D5989BAB9615}"/>
    <cellStyle name="Normal 4 2 2 3 4 4 2" xfId="5551" xr:uid="{6FE2CF0F-9610-4D36-A8B0-1A252FA91566}"/>
    <cellStyle name="Normal 4 2 2 3 4 4 2 2" xfId="9769" xr:uid="{803433D6-FA5B-46F2-867C-8EA3F5B0F237}"/>
    <cellStyle name="Normal 4 2 2 3 4 4 3" xfId="7624" xr:uid="{235E7BFA-58F5-4FC6-BCC4-A142BFBF6CE3}"/>
    <cellStyle name="Normal 4 2 2 3 4 5" xfId="3735" xr:uid="{5490DFE8-50C2-4CE2-BC6E-F28DF7DAC205}"/>
    <cellStyle name="Normal 4 2 2 3 4 5 2" xfId="5964" xr:uid="{555A9673-EA80-4B64-8EF3-0E76A070A5BC}"/>
    <cellStyle name="Normal 4 2 2 3 4 5 2 2" xfId="10182" xr:uid="{704190E2-D168-4721-977D-AEF02834C65D}"/>
    <cellStyle name="Normal 4 2 2 3 4 5 3" xfId="8037" xr:uid="{2CB1A7EF-3C8E-436B-A234-45F84EBC2042}"/>
    <cellStyle name="Normal 4 2 2 3 4 6" xfId="4171" xr:uid="{AF66AA3D-D7FF-463A-B903-6AC0E61587B6}"/>
    <cellStyle name="Normal 4 2 2 3 4 6 2" xfId="8450" xr:uid="{829BCE7F-8927-47AC-B4B1-8DB128C89868}"/>
    <cellStyle name="Normal 4 2 2 3 4 7" xfId="6385" xr:uid="{2FA333DC-F908-45B6-9EB3-072A44AD0C39}"/>
    <cellStyle name="Normal 4 2 2 3 4 8" xfId="2081" xr:uid="{E0461BEE-2B40-49C5-8F16-DD2A2DFD2D0B}"/>
    <cellStyle name="Normal 4 2 2 3 4 9" xfId="1251" xr:uid="{A6EEEAC2-18C0-4B2E-9111-8638162CCD5C}"/>
    <cellStyle name="Normal 4 2 2 3 5" xfId="824" xr:uid="{00000000-0005-0000-0000-00005D020000}"/>
    <cellStyle name="Normal 4 2 2 3 5 2" xfId="4718" xr:uid="{DC9C8F2E-0DE7-434C-A135-09F1E30526AC}"/>
    <cellStyle name="Normal 4 2 2 3 5 2 2" xfId="8936" xr:uid="{9368684F-C683-409B-8724-31618EAEDC40}"/>
    <cellStyle name="Normal 4 2 2 3 5 3" xfId="6791" xr:uid="{C72E34CB-7C27-4A1E-9C60-A421259271B8}"/>
    <cellStyle name="Normal 4 2 2 3 5 4" xfId="2489" xr:uid="{48862CCF-53CD-4281-A397-3CF5DE6099A4}"/>
    <cellStyle name="Normal 4 2 2 3 5 5" xfId="1660" xr:uid="{C72CD5C3-AB43-436B-95C8-253F1A0E7410}"/>
    <cellStyle name="Normal 4 2 2 3 5 6" xfId="11026" xr:uid="{AE89C498-CA0C-4F9B-B5C6-9529FFFCFBC8}"/>
    <cellStyle name="Normal 4 2 2 3 6" xfId="2902" xr:uid="{20357D51-E9CF-4AAB-BA54-E699CF1165F8}"/>
    <cellStyle name="Normal 4 2 2 3 6 2" xfId="5131" xr:uid="{FAFC0C66-6EB4-4925-AA9F-4263C2CA8A29}"/>
    <cellStyle name="Normal 4 2 2 3 6 2 2" xfId="9349" xr:uid="{5C9D571F-953E-47EF-BD48-B14E9C890B98}"/>
    <cellStyle name="Normal 4 2 2 3 6 3" xfId="7204" xr:uid="{5F43B39A-4F7C-4C0A-8099-865339BC054F}"/>
    <cellStyle name="Normal 4 2 2 3 7" xfId="3315" xr:uid="{7B4040BE-E939-49A3-B13F-B7A0A58CB8C6}"/>
    <cellStyle name="Normal 4 2 2 3 7 2" xfId="5544" xr:uid="{CF460F41-8781-40BC-9062-0DC4CF132256}"/>
    <cellStyle name="Normal 4 2 2 3 7 2 2" xfId="9762" xr:uid="{6424A7B4-387C-46BB-B0F2-8DBC55DCA3D4}"/>
    <cellStyle name="Normal 4 2 2 3 7 3" xfId="7617" xr:uid="{952DA31A-8C45-4E85-901E-C1BD5D72B080}"/>
    <cellStyle name="Normal 4 2 2 3 8" xfId="3728" xr:uid="{6B6B044B-2B64-4C07-A748-E19FE59C54B4}"/>
    <cellStyle name="Normal 4 2 2 3 8 2" xfId="5957" xr:uid="{C6D56D93-B312-4751-90EC-A8965AE04661}"/>
    <cellStyle name="Normal 4 2 2 3 8 2 2" xfId="10175" xr:uid="{6CF29AB7-7881-4F24-820C-989D261CF62E}"/>
    <cellStyle name="Normal 4 2 2 3 8 3" xfId="8030" xr:uid="{729594DF-0ADC-4B1D-8A05-54E57F14A713}"/>
    <cellStyle name="Normal 4 2 2 3 9" xfId="4164" xr:uid="{8C75992E-75D0-4626-9DE6-63E7773DF998}"/>
    <cellStyle name="Normal 4 2 2 3 9 2" xfId="8443" xr:uid="{A87EE5C1-F620-480B-A8DA-787AE52A592A}"/>
    <cellStyle name="Normal 4 2 2 4" xfId="350" xr:uid="{00000000-0005-0000-0000-00005E020000}"/>
    <cellStyle name="Normal 4 2 2 4 10" xfId="2082" xr:uid="{D77BDAB5-068E-43F8-B11E-CFECAA367F35}"/>
    <cellStyle name="Normal 4 2 2 4 11" xfId="1252" xr:uid="{665D96B8-0589-46A2-AF1C-390DD0BAE7C7}"/>
    <cellStyle name="Normal 4 2 2 4 12" xfId="10618" xr:uid="{0982021E-9AE0-4A44-BD5F-76E394C063EB}"/>
    <cellStyle name="Normal 4 2 2 4 2" xfId="351" xr:uid="{00000000-0005-0000-0000-00005F020000}"/>
    <cellStyle name="Normal 4 2 2 4 2 10" xfId="1253" xr:uid="{7D972075-574C-4E58-BE5C-754308940113}"/>
    <cellStyle name="Normal 4 2 2 4 2 11" xfId="10619" xr:uid="{6F30FB6B-CB13-4DAB-88D9-2D1FCA3A0AC3}"/>
    <cellStyle name="Normal 4 2 2 4 2 2" xfId="352" xr:uid="{00000000-0005-0000-0000-000060020000}"/>
    <cellStyle name="Normal 4 2 2 4 2 2 10" xfId="10620" xr:uid="{B99D8E3D-332D-4CA8-8E07-69A7E60468E2}"/>
    <cellStyle name="Normal 4 2 2 4 2 2 2" xfId="834" xr:uid="{00000000-0005-0000-0000-000061020000}"/>
    <cellStyle name="Normal 4 2 2 4 2 2 2 2" xfId="4728" xr:uid="{FA8ED5F5-5C6C-432A-93C0-EF670F003021}"/>
    <cellStyle name="Normal 4 2 2 4 2 2 2 2 2" xfId="8946" xr:uid="{222FE4DC-1EBF-4073-8550-8CC858CC74D6}"/>
    <cellStyle name="Normal 4 2 2 4 2 2 2 3" xfId="6801" xr:uid="{BEDDA0A9-D8CA-432D-A835-2B899257AFD6}"/>
    <cellStyle name="Normal 4 2 2 4 2 2 2 4" xfId="2499" xr:uid="{9CD89ADE-6EC4-42EA-AA84-2FFC94E6533F}"/>
    <cellStyle name="Normal 4 2 2 4 2 2 2 5" xfId="1670" xr:uid="{F1A6F225-BC92-4F0B-8C79-35993C4AB983}"/>
    <cellStyle name="Normal 4 2 2 4 2 2 2 6" xfId="11036" xr:uid="{EFFD0099-E3A2-4E10-A123-90DF4AA384F5}"/>
    <cellStyle name="Normal 4 2 2 4 2 2 3" xfId="2912" xr:uid="{00545151-9252-49E4-BACC-67DD61C5D25F}"/>
    <cellStyle name="Normal 4 2 2 4 2 2 3 2" xfId="5141" xr:uid="{204C23D9-3A00-4DCF-B828-204CA6B19FB7}"/>
    <cellStyle name="Normal 4 2 2 4 2 2 3 2 2" xfId="9359" xr:uid="{DC3F2DC4-CE53-434A-B557-0F0AF682B623}"/>
    <cellStyle name="Normal 4 2 2 4 2 2 3 3" xfId="7214" xr:uid="{B85A2496-B0F9-42C1-87D4-ACA99B5738BF}"/>
    <cellStyle name="Normal 4 2 2 4 2 2 4" xfId="3325" xr:uid="{F14E43FB-C506-451D-998F-E3D0D18E0A75}"/>
    <cellStyle name="Normal 4 2 2 4 2 2 4 2" xfId="5554" xr:uid="{A372D4C1-47BC-4ED1-B39E-6D956B580C7B}"/>
    <cellStyle name="Normal 4 2 2 4 2 2 4 2 2" xfId="9772" xr:uid="{16827D79-A715-475A-B0F3-A8E77985575C}"/>
    <cellStyle name="Normal 4 2 2 4 2 2 4 3" xfId="7627" xr:uid="{3F14A917-FBB0-4514-A597-5CC16C3176D9}"/>
    <cellStyle name="Normal 4 2 2 4 2 2 5" xfId="3738" xr:uid="{B16EC1CD-6DF1-4223-A98F-8B149745A64C}"/>
    <cellStyle name="Normal 4 2 2 4 2 2 5 2" xfId="5967" xr:uid="{6ED4E9A4-2C23-48A8-B8FD-415B8F0F1461}"/>
    <cellStyle name="Normal 4 2 2 4 2 2 5 2 2" xfId="10185" xr:uid="{CB9C8813-9D66-4B79-ADCF-53B5CDA424B5}"/>
    <cellStyle name="Normal 4 2 2 4 2 2 5 3" xfId="8040" xr:uid="{56EE5A6D-7976-4819-9A9B-9A7BABC648E9}"/>
    <cellStyle name="Normal 4 2 2 4 2 2 6" xfId="4174" xr:uid="{FD47B552-05F9-4E4D-8DD8-50A8382BC967}"/>
    <cellStyle name="Normal 4 2 2 4 2 2 6 2" xfId="8453" xr:uid="{E0F42031-46D5-4288-AEC1-1C3AE5E6DCBD}"/>
    <cellStyle name="Normal 4 2 2 4 2 2 7" xfId="6388" xr:uid="{D1EA26AD-9488-4B33-ABC8-1920DF30E523}"/>
    <cellStyle name="Normal 4 2 2 4 2 2 8" xfId="2084" xr:uid="{02D5C577-5886-4F45-8E15-2F84AAAC7B56}"/>
    <cellStyle name="Normal 4 2 2 4 2 2 9" xfId="1254" xr:uid="{ADE9F62F-C661-4E9E-A584-7CE5E464B521}"/>
    <cellStyle name="Normal 4 2 2 4 2 3" xfId="833" xr:uid="{00000000-0005-0000-0000-000062020000}"/>
    <cellStyle name="Normal 4 2 2 4 2 3 2" xfId="4727" xr:uid="{00D07127-F1FB-4B7D-83FD-AE56F6EAB60B}"/>
    <cellStyle name="Normal 4 2 2 4 2 3 2 2" xfId="8945" xr:uid="{E209ED47-8854-4174-BA08-7DF0F357845E}"/>
    <cellStyle name="Normal 4 2 2 4 2 3 3" xfId="6800" xr:uid="{E6EB50F7-E2C3-42FE-9498-3DDD2A23ECFA}"/>
    <cellStyle name="Normal 4 2 2 4 2 3 4" xfId="2498" xr:uid="{3EE49BFE-A210-4F9D-8FC7-BA4D1C2CBD4D}"/>
    <cellStyle name="Normal 4 2 2 4 2 3 5" xfId="1669" xr:uid="{F1AA3EFB-C94D-4286-A453-0566F7832948}"/>
    <cellStyle name="Normal 4 2 2 4 2 3 6" xfId="11035" xr:uid="{D5FC4A6B-B462-4F74-83DA-85FD39E3085D}"/>
    <cellStyle name="Normal 4 2 2 4 2 4" xfId="2911" xr:uid="{4ED868D8-6310-4408-B842-D17752AA83AF}"/>
    <cellStyle name="Normal 4 2 2 4 2 4 2" xfId="5140" xr:uid="{240A7B32-0867-4C7F-B501-E0E9D4D123E7}"/>
    <cellStyle name="Normal 4 2 2 4 2 4 2 2" xfId="9358" xr:uid="{0F9919BD-DE14-4F09-A641-3B11317233BC}"/>
    <cellStyle name="Normal 4 2 2 4 2 4 3" xfId="7213" xr:uid="{33C1E0AD-E03A-422D-88D8-1784308BA9F7}"/>
    <cellStyle name="Normal 4 2 2 4 2 5" xfId="3324" xr:uid="{BA876F45-FB0E-43BA-9955-A46884CAB4BD}"/>
    <cellStyle name="Normal 4 2 2 4 2 5 2" xfId="5553" xr:uid="{1EC6FFDE-15F0-4DDE-9D83-36F7833FB09F}"/>
    <cellStyle name="Normal 4 2 2 4 2 5 2 2" xfId="9771" xr:uid="{618865DA-1414-4A69-88AA-3147C59F841F}"/>
    <cellStyle name="Normal 4 2 2 4 2 5 3" xfId="7626" xr:uid="{E2BA08CC-9385-41F1-9BB6-1C33D55C097B}"/>
    <cellStyle name="Normal 4 2 2 4 2 6" xfId="3737" xr:uid="{13502197-E27F-4DB0-8175-03262DCC3898}"/>
    <cellStyle name="Normal 4 2 2 4 2 6 2" xfId="5966" xr:uid="{1BD2ECA6-8D2D-41F0-9F06-AE4B11EDB9D4}"/>
    <cellStyle name="Normal 4 2 2 4 2 6 2 2" xfId="10184" xr:uid="{0F14EED7-5887-4335-812E-2CB6B1293291}"/>
    <cellStyle name="Normal 4 2 2 4 2 6 3" xfId="8039" xr:uid="{8D33473C-55CA-4F81-86E5-90BFA20100CE}"/>
    <cellStyle name="Normal 4 2 2 4 2 7" xfId="4173" xr:uid="{8EDB74EE-BC66-40D0-B230-282DB4935235}"/>
    <cellStyle name="Normal 4 2 2 4 2 7 2" xfId="8452" xr:uid="{606CA9D9-9E6B-496B-90C3-D214D83DD414}"/>
    <cellStyle name="Normal 4 2 2 4 2 8" xfId="6387" xr:uid="{42596522-4003-47EE-81AB-DA915BDF1EE3}"/>
    <cellStyle name="Normal 4 2 2 4 2 9" xfId="2083" xr:uid="{551DDAC7-DE43-4A79-92D0-805ABCC43F4D}"/>
    <cellStyle name="Normal 4 2 2 4 3" xfId="353" xr:uid="{00000000-0005-0000-0000-000063020000}"/>
    <cellStyle name="Normal 4 2 2 4 3 10" xfId="10621" xr:uid="{E8691523-8DB5-4FFF-B85A-21B10B129E32}"/>
    <cellStyle name="Normal 4 2 2 4 3 2" xfId="835" xr:uid="{00000000-0005-0000-0000-000064020000}"/>
    <cellStyle name="Normal 4 2 2 4 3 2 2" xfId="4729" xr:uid="{FDD5EBCB-86D9-4DF7-8E89-CF2C41D33CE9}"/>
    <cellStyle name="Normal 4 2 2 4 3 2 2 2" xfId="8947" xr:uid="{A48F53E4-CF36-43C2-A56F-69E9E2E5522C}"/>
    <cellStyle name="Normal 4 2 2 4 3 2 3" xfId="6802" xr:uid="{98A63432-55DF-4018-9933-4749664D969A}"/>
    <cellStyle name="Normal 4 2 2 4 3 2 4" xfId="2500" xr:uid="{7E987711-6782-4B6F-AC11-A5E0BC6F2E58}"/>
    <cellStyle name="Normal 4 2 2 4 3 2 5" xfId="1671" xr:uid="{D46B4CC9-DBF9-4731-9CD8-7F211A144A7D}"/>
    <cellStyle name="Normal 4 2 2 4 3 2 6" xfId="11037" xr:uid="{BA3B3C69-31C4-4E3D-816A-5CE51D11BE7B}"/>
    <cellStyle name="Normal 4 2 2 4 3 3" xfId="2913" xr:uid="{8B6A1BC9-D6BD-48F9-9A21-CDB81676C194}"/>
    <cellStyle name="Normal 4 2 2 4 3 3 2" xfId="5142" xr:uid="{90A64318-4D97-45E0-96A4-D48E3747E43C}"/>
    <cellStyle name="Normal 4 2 2 4 3 3 2 2" xfId="9360" xr:uid="{32F47293-2745-4FEC-AFA8-C29F96487249}"/>
    <cellStyle name="Normal 4 2 2 4 3 3 3" xfId="7215" xr:uid="{F5EB36F8-5FC8-4762-AAB5-59461ADDA162}"/>
    <cellStyle name="Normal 4 2 2 4 3 4" xfId="3326" xr:uid="{1B7E32CE-5764-40AD-BF7D-73A84CC4207A}"/>
    <cellStyle name="Normal 4 2 2 4 3 4 2" xfId="5555" xr:uid="{8BDC78BA-D5D7-4D05-92F9-23C4EC4E3D2F}"/>
    <cellStyle name="Normal 4 2 2 4 3 4 2 2" xfId="9773" xr:uid="{0B9056A9-FE87-4B97-8CB2-4B20F495C961}"/>
    <cellStyle name="Normal 4 2 2 4 3 4 3" xfId="7628" xr:uid="{91EFE3B7-8ADD-4C79-BDFC-C20AA368638F}"/>
    <cellStyle name="Normal 4 2 2 4 3 5" xfId="3739" xr:uid="{BD315608-5533-4F5B-9A71-D54B91C9BEC0}"/>
    <cellStyle name="Normal 4 2 2 4 3 5 2" xfId="5968" xr:uid="{2617B12D-A036-4B9E-A792-5444DA87B95F}"/>
    <cellStyle name="Normal 4 2 2 4 3 5 2 2" xfId="10186" xr:uid="{3DDBDA7D-7B8D-4627-A054-55456B1BF23F}"/>
    <cellStyle name="Normal 4 2 2 4 3 5 3" xfId="8041" xr:uid="{92BD3421-CD6A-46C1-BB7F-ECD478CA90DC}"/>
    <cellStyle name="Normal 4 2 2 4 3 6" xfId="4175" xr:uid="{7293CC89-059A-4B76-AA89-117E4007C101}"/>
    <cellStyle name="Normal 4 2 2 4 3 6 2" xfId="8454" xr:uid="{B1CB1393-ED90-4264-99CD-C02C1D275C1E}"/>
    <cellStyle name="Normal 4 2 2 4 3 7" xfId="6389" xr:uid="{22F1A6A8-629C-4431-B7DD-6BB08B81B083}"/>
    <cellStyle name="Normal 4 2 2 4 3 8" xfId="2085" xr:uid="{E9C03410-5021-484D-A770-52661A599C89}"/>
    <cellStyle name="Normal 4 2 2 4 3 9" xfId="1255" xr:uid="{6F11D22C-0069-4CEC-A058-8A01F2E257E0}"/>
    <cellStyle name="Normal 4 2 2 4 4" xfId="832" xr:uid="{00000000-0005-0000-0000-000065020000}"/>
    <cellStyle name="Normal 4 2 2 4 4 2" xfId="4726" xr:uid="{B48A676B-A225-4138-B754-F9F839E053C0}"/>
    <cellStyle name="Normal 4 2 2 4 4 2 2" xfId="8944" xr:uid="{93C4AED2-6EA7-482F-88FC-6AFC047FFE8A}"/>
    <cellStyle name="Normal 4 2 2 4 4 3" xfId="6799" xr:uid="{0986BB2A-5EB4-44D3-AE11-804C74D1BEE9}"/>
    <cellStyle name="Normal 4 2 2 4 4 4" xfId="2497" xr:uid="{AD3280A1-246E-4C10-9AA5-B440B93CF807}"/>
    <cellStyle name="Normal 4 2 2 4 4 5" xfId="1668" xr:uid="{DD12DBBD-E613-4BE1-9B9F-7CDED5E0B8C9}"/>
    <cellStyle name="Normal 4 2 2 4 4 6" xfId="11034" xr:uid="{58A74D1A-17AE-4011-A4AB-458594B8CC3F}"/>
    <cellStyle name="Normal 4 2 2 4 5" xfId="2910" xr:uid="{CC2EC69E-BE45-4AC2-AD5A-6163460CC4D4}"/>
    <cellStyle name="Normal 4 2 2 4 5 2" xfId="5139" xr:uid="{6A5706F8-5D3E-4C41-9C97-2A27FB0F19D1}"/>
    <cellStyle name="Normal 4 2 2 4 5 2 2" xfId="9357" xr:uid="{C1DD98F7-3D0F-428F-B1CD-BF764F5DECBD}"/>
    <cellStyle name="Normal 4 2 2 4 5 3" xfId="7212" xr:uid="{CD3EAF0F-759E-4E0F-A80F-619BBD933D28}"/>
    <cellStyle name="Normal 4 2 2 4 6" xfId="3323" xr:uid="{A4C07BA6-5253-4528-BE95-982D4A0ED709}"/>
    <cellStyle name="Normal 4 2 2 4 6 2" xfId="5552" xr:uid="{A1ECEDDA-67E7-4754-88C2-83BA757F1411}"/>
    <cellStyle name="Normal 4 2 2 4 6 2 2" xfId="9770" xr:uid="{634A9812-27F9-442F-8FE2-37012A06E534}"/>
    <cellStyle name="Normal 4 2 2 4 6 3" xfId="7625" xr:uid="{EEF676F4-FEE8-4A4C-A887-B129C3BF95CF}"/>
    <cellStyle name="Normal 4 2 2 4 7" xfId="3736" xr:uid="{0A787850-B059-4924-BAAF-85595C3CF925}"/>
    <cellStyle name="Normal 4 2 2 4 7 2" xfId="5965" xr:uid="{30861F05-5D18-4ABB-AEF4-DBB0B1BD7582}"/>
    <cellStyle name="Normal 4 2 2 4 7 2 2" xfId="10183" xr:uid="{DB1EFFED-DBD3-4AAC-907C-FD49EC5B9ED5}"/>
    <cellStyle name="Normal 4 2 2 4 7 3" xfId="8038" xr:uid="{F77EB9CC-BE8F-4253-89C0-F234CAB12C23}"/>
    <cellStyle name="Normal 4 2 2 4 8" xfId="4172" xr:uid="{F8BA9C28-219D-460B-8BA2-6842331F3678}"/>
    <cellStyle name="Normal 4 2 2 4 8 2" xfId="8451" xr:uid="{8C4601D8-01CF-48B6-8CD5-90DE30DCDB26}"/>
    <cellStyle name="Normal 4 2 2 4 9" xfId="6386" xr:uid="{F5B8B17A-86E9-4987-A533-981CB2F7741E}"/>
    <cellStyle name="Normal 4 2 2 5" xfId="354" xr:uid="{00000000-0005-0000-0000-000066020000}"/>
    <cellStyle name="Normal 4 2 2 5 10" xfId="1256" xr:uid="{041BAADE-AB15-4AE9-8A53-2EEDB66F82A8}"/>
    <cellStyle name="Normal 4 2 2 5 11" xfId="10622" xr:uid="{6BC48CDE-8193-4798-A4B1-0D9DA1F9EBF5}"/>
    <cellStyle name="Normal 4 2 2 5 2" xfId="355" xr:uid="{00000000-0005-0000-0000-000067020000}"/>
    <cellStyle name="Normal 4 2 2 5 2 10" xfId="10623" xr:uid="{2933E855-2EF0-400A-831C-B56B6E8BA0A2}"/>
    <cellStyle name="Normal 4 2 2 5 2 2" xfId="837" xr:uid="{00000000-0005-0000-0000-000068020000}"/>
    <cellStyle name="Normal 4 2 2 5 2 2 2" xfId="4731" xr:uid="{5CA060BE-2B91-4875-B8BB-23BA9270055A}"/>
    <cellStyle name="Normal 4 2 2 5 2 2 2 2" xfId="8949" xr:uid="{3744BD64-421E-45E0-BDFA-74BCE94BE648}"/>
    <cellStyle name="Normal 4 2 2 5 2 2 3" xfId="6804" xr:uid="{A9EEF3A6-6AC9-4582-8BDD-34D4E28421AC}"/>
    <cellStyle name="Normal 4 2 2 5 2 2 4" xfId="2502" xr:uid="{959EE9EE-66D5-4638-AD7C-C8D3AB4DB0BF}"/>
    <cellStyle name="Normal 4 2 2 5 2 2 5" xfId="1673" xr:uid="{074096DF-5210-4F56-AC8B-BB1DF9007C68}"/>
    <cellStyle name="Normal 4 2 2 5 2 2 6" xfId="11039" xr:uid="{7F595F21-C33D-4982-BED0-309D5AEF2011}"/>
    <cellStyle name="Normal 4 2 2 5 2 3" xfId="2915" xr:uid="{10A820FF-5201-4C1E-A3BD-1EDE97F91D8E}"/>
    <cellStyle name="Normal 4 2 2 5 2 3 2" xfId="5144" xr:uid="{1B154DB5-45D1-4986-BF1E-B68BB430C8ED}"/>
    <cellStyle name="Normal 4 2 2 5 2 3 2 2" xfId="9362" xr:uid="{5578CBBC-F7A2-42AC-9814-36F2ADACC4F2}"/>
    <cellStyle name="Normal 4 2 2 5 2 3 3" xfId="7217" xr:uid="{12B708C0-A6B4-48AD-A6DC-BEA578949337}"/>
    <cellStyle name="Normal 4 2 2 5 2 4" xfId="3328" xr:uid="{57186E43-4A90-4B26-B81B-A303B7950A4E}"/>
    <cellStyle name="Normal 4 2 2 5 2 4 2" xfId="5557" xr:uid="{BC8527E5-4280-4939-978E-0E7CD04B0252}"/>
    <cellStyle name="Normal 4 2 2 5 2 4 2 2" xfId="9775" xr:uid="{D7DE306F-F193-4062-9CFF-BB96C95D837C}"/>
    <cellStyle name="Normal 4 2 2 5 2 4 3" xfId="7630" xr:uid="{EF0D2CCF-1B11-4549-BCAA-9359B3ED307F}"/>
    <cellStyle name="Normal 4 2 2 5 2 5" xfId="3741" xr:uid="{6E5E3CCD-B8FF-4377-83A7-8B4E20F35F49}"/>
    <cellStyle name="Normal 4 2 2 5 2 5 2" xfId="5970" xr:uid="{19655260-7A6E-4BCB-B5CE-EAB7C23B48F2}"/>
    <cellStyle name="Normal 4 2 2 5 2 5 2 2" xfId="10188" xr:uid="{8C4A618D-154B-4DA3-8B7B-F600CEA44547}"/>
    <cellStyle name="Normal 4 2 2 5 2 5 3" xfId="8043" xr:uid="{DA24E8B7-10BB-4E65-BCDA-D4555DA981C8}"/>
    <cellStyle name="Normal 4 2 2 5 2 6" xfId="4177" xr:uid="{E2F7B15F-DBA5-44FE-9933-D9B45043CFE7}"/>
    <cellStyle name="Normal 4 2 2 5 2 6 2" xfId="8456" xr:uid="{4FA59EA1-B5CD-4D4B-8376-5A0934ACC242}"/>
    <cellStyle name="Normal 4 2 2 5 2 7" xfId="6391" xr:uid="{E8A9DC7D-8684-47A1-88E4-2B7709D173FE}"/>
    <cellStyle name="Normal 4 2 2 5 2 8" xfId="2087" xr:uid="{AB5E0D71-0943-4D3D-9A31-6E18FDA66CBD}"/>
    <cellStyle name="Normal 4 2 2 5 2 9" xfId="1257" xr:uid="{451A958F-4C6D-42AB-B0E2-5E7E8CAA2723}"/>
    <cellStyle name="Normal 4 2 2 5 3" xfId="836" xr:uid="{00000000-0005-0000-0000-000069020000}"/>
    <cellStyle name="Normal 4 2 2 5 3 2" xfId="4730" xr:uid="{3220CBDB-42DD-4FCD-8963-BF4F4529A11E}"/>
    <cellStyle name="Normal 4 2 2 5 3 2 2" xfId="8948" xr:uid="{4B7C74A1-6080-4C3E-B041-849497D17FEB}"/>
    <cellStyle name="Normal 4 2 2 5 3 3" xfId="6803" xr:uid="{498C7794-D089-4290-B0DA-FCDF9D52568E}"/>
    <cellStyle name="Normal 4 2 2 5 3 4" xfId="2501" xr:uid="{1DB2C550-899C-47EF-A15D-BB5160A1DF73}"/>
    <cellStyle name="Normal 4 2 2 5 3 5" xfId="1672" xr:uid="{61E22029-B166-4734-8E27-62B8E40F6FD0}"/>
    <cellStyle name="Normal 4 2 2 5 3 6" xfId="11038" xr:uid="{30425442-9C2D-4B95-86B9-A87429DE4190}"/>
    <cellStyle name="Normal 4 2 2 5 4" xfId="2914" xr:uid="{13974C77-501C-4023-BA0D-54E009E6564F}"/>
    <cellStyle name="Normal 4 2 2 5 4 2" xfId="5143" xr:uid="{3222B34A-46FC-4045-B5C7-41AAA62C5299}"/>
    <cellStyle name="Normal 4 2 2 5 4 2 2" xfId="9361" xr:uid="{4B53CA5B-A97A-4782-AF5C-C100C59D3368}"/>
    <cellStyle name="Normal 4 2 2 5 4 3" xfId="7216" xr:uid="{32F91D4E-C8F9-49E4-B44C-01F46CC40B34}"/>
    <cellStyle name="Normal 4 2 2 5 5" xfId="3327" xr:uid="{07931572-CA81-45DB-9A2D-DFAEBA5C748F}"/>
    <cellStyle name="Normal 4 2 2 5 5 2" xfId="5556" xr:uid="{A9AEEC12-EC92-4765-9BD7-26158EF135EA}"/>
    <cellStyle name="Normal 4 2 2 5 5 2 2" xfId="9774" xr:uid="{5A49B070-604E-4616-8DF0-20B777E63DAB}"/>
    <cellStyle name="Normal 4 2 2 5 5 3" xfId="7629" xr:uid="{CCFF9456-F54C-48AB-9632-799EBBED98C9}"/>
    <cellStyle name="Normal 4 2 2 5 6" xfId="3740" xr:uid="{713D579A-E5E6-487E-B6FF-4ACD94431D0D}"/>
    <cellStyle name="Normal 4 2 2 5 6 2" xfId="5969" xr:uid="{F9E97695-D685-43B5-85F3-8B77FC24E5EF}"/>
    <cellStyle name="Normal 4 2 2 5 6 2 2" xfId="10187" xr:uid="{F19BE646-94D9-4553-8FE0-DC90B23B867C}"/>
    <cellStyle name="Normal 4 2 2 5 6 3" xfId="8042" xr:uid="{DE1A973A-F5EC-42D9-BCA6-6D0D0BB0FC9A}"/>
    <cellStyle name="Normal 4 2 2 5 7" xfId="4176" xr:uid="{AEEC5258-DD02-4EDF-A3F8-BC57E559E8FE}"/>
    <cellStyle name="Normal 4 2 2 5 7 2" xfId="8455" xr:uid="{63D57E40-1438-45A9-B620-5E00DDCCC70E}"/>
    <cellStyle name="Normal 4 2 2 5 8" xfId="6390" xr:uid="{90B763EB-5A17-488B-98A4-CC092F7F42D5}"/>
    <cellStyle name="Normal 4 2 2 5 9" xfId="2086" xr:uid="{680BCB40-C6DF-4409-84C5-6694CCAC4D2E}"/>
    <cellStyle name="Normal 4 2 2 6" xfId="356" xr:uid="{00000000-0005-0000-0000-00006A020000}"/>
    <cellStyle name="Normal 4 2 2 6 10" xfId="10624" xr:uid="{2C235338-4C52-4749-96F1-8A6881857C63}"/>
    <cellStyle name="Normal 4 2 2 6 2" xfId="838" xr:uid="{00000000-0005-0000-0000-00006B020000}"/>
    <cellStyle name="Normal 4 2 2 6 2 2" xfId="4732" xr:uid="{9A850E74-C552-4917-B450-8AD4B30B3574}"/>
    <cellStyle name="Normal 4 2 2 6 2 2 2" xfId="8950" xr:uid="{1B0EEBD1-FF2F-4AE0-A3B9-7140B3703F3D}"/>
    <cellStyle name="Normal 4 2 2 6 2 3" xfId="6805" xr:uid="{2554CDFD-703D-40A1-984E-1DE75FDF013D}"/>
    <cellStyle name="Normal 4 2 2 6 2 4" xfId="2503" xr:uid="{AF581B62-A25F-4CCD-B593-0F094C73E369}"/>
    <cellStyle name="Normal 4 2 2 6 2 5" xfId="1674" xr:uid="{F6140F12-6BCE-4BE2-A91D-9AC5B67CFEAD}"/>
    <cellStyle name="Normal 4 2 2 6 2 6" xfId="11040" xr:uid="{0F1CE862-F9C1-41E4-9B41-B7785C9ACCFA}"/>
    <cellStyle name="Normal 4 2 2 6 3" xfId="2916" xr:uid="{A2E729DB-10A8-4653-B476-764DBE4930E1}"/>
    <cellStyle name="Normal 4 2 2 6 3 2" xfId="5145" xr:uid="{685AD9A9-91B3-48EC-B76F-F260ABF0DDBF}"/>
    <cellStyle name="Normal 4 2 2 6 3 2 2" xfId="9363" xr:uid="{663B74D6-E858-42A7-84C5-1B7DEBC23F6E}"/>
    <cellStyle name="Normal 4 2 2 6 3 3" xfId="7218" xr:uid="{C1B4C9F8-1482-418F-B74D-0B854C17EECE}"/>
    <cellStyle name="Normal 4 2 2 6 4" xfId="3329" xr:uid="{692E5E93-81F7-40CE-97A3-44FA77872810}"/>
    <cellStyle name="Normal 4 2 2 6 4 2" xfId="5558" xr:uid="{08518CAB-7371-4525-AABF-9A14547F388A}"/>
    <cellStyle name="Normal 4 2 2 6 4 2 2" xfId="9776" xr:uid="{55DDA05D-8D98-426C-BEF4-F70824EB6607}"/>
    <cellStyle name="Normal 4 2 2 6 4 3" xfId="7631" xr:uid="{5D76AB82-7534-41BC-9679-FC248FCF2537}"/>
    <cellStyle name="Normal 4 2 2 6 5" xfId="3742" xr:uid="{C075A0C2-646A-4E22-906D-3AA550FEFA08}"/>
    <cellStyle name="Normal 4 2 2 6 5 2" xfId="5971" xr:uid="{8FB82332-434D-43DC-BAB5-3A739A2CDF49}"/>
    <cellStyle name="Normal 4 2 2 6 5 2 2" xfId="10189" xr:uid="{206288FC-2B45-4886-BA87-31DC8E907085}"/>
    <cellStyle name="Normal 4 2 2 6 5 3" xfId="8044" xr:uid="{30EAD282-8814-4DF3-A21E-9E0394B6BD83}"/>
    <cellStyle name="Normal 4 2 2 6 6" xfId="4178" xr:uid="{C5EB5268-D6FD-4434-A703-C653DE81A850}"/>
    <cellStyle name="Normal 4 2 2 6 6 2" xfId="8457" xr:uid="{F8815B78-1CF6-4BFC-8A23-0003010964EE}"/>
    <cellStyle name="Normal 4 2 2 6 7" xfId="6392" xr:uid="{FAF31285-1990-4DF9-B28E-A693F8E20DAB}"/>
    <cellStyle name="Normal 4 2 2 6 8" xfId="2088" xr:uid="{FB1E3AFA-E494-48ED-815C-39611404FE82}"/>
    <cellStyle name="Normal 4 2 2 6 9" xfId="1258" xr:uid="{260335AE-B69A-4378-8ECC-F9578602BD44}"/>
    <cellStyle name="Normal 4 2 2 7" xfId="823" xr:uid="{00000000-0005-0000-0000-00006C020000}"/>
    <cellStyle name="Normal 4 2 2 7 2" xfId="4717" xr:uid="{830A01FE-33C0-4ABA-8613-C5D341E12BF2}"/>
    <cellStyle name="Normal 4 2 2 7 2 2" xfId="8935" xr:uid="{D5C9039B-683D-44FA-84CB-102576FDD06F}"/>
    <cellStyle name="Normal 4 2 2 7 3" xfId="6790" xr:uid="{7754B4D1-CB6B-4A51-8586-743E443AEC4A}"/>
    <cellStyle name="Normal 4 2 2 7 4" xfId="2488" xr:uid="{25F7ABC3-B5AF-4206-A21D-7D141BE34CEE}"/>
    <cellStyle name="Normal 4 2 2 7 5" xfId="1659" xr:uid="{E44AEC3B-19C2-4370-9037-8228F366BE7D}"/>
    <cellStyle name="Normal 4 2 2 7 6" xfId="11025" xr:uid="{DDDBFF0F-2EE1-4CCB-B7F5-26373BAFE0E8}"/>
    <cellStyle name="Normal 4 2 2 8" xfId="2901" xr:uid="{974CA08E-6ACF-47CE-9D11-287A1D4C02EF}"/>
    <cellStyle name="Normal 4 2 2 8 2" xfId="5130" xr:uid="{4C91345B-0BF1-4AC2-926F-813389404F03}"/>
    <cellStyle name="Normal 4 2 2 8 2 2" xfId="9348" xr:uid="{0D2446E5-C839-4141-AF3C-5F8B7042F1BC}"/>
    <cellStyle name="Normal 4 2 2 8 3" xfId="7203" xr:uid="{D8613C1A-3565-4485-A957-D7B66DCA9011}"/>
    <cellStyle name="Normal 4 2 2 9" xfId="3314" xr:uid="{0969991A-B6C0-4571-9561-A6E3835B46A0}"/>
    <cellStyle name="Normal 4 2 2 9 2" xfId="5543" xr:uid="{66F218E9-91D7-4134-9C4B-E9E51C70091B}"/>
    <cellStyle name="Normal 4 2 2 9 2 2" xfId="9761" xr:uid="{DC15CE83-48A6-49AE-8E10-60E2F1AEA52F}"/>
    <cellStyle name="Normal 4 2 2 9 3" xfId="7616" xr:uid="{37FB5DA6-A150-4970-9F7D-254AE0A85EA8}"/>
    <cellStyle name="Normal 4 2 3" xfId="357" xr:uid="{00000000-0005-0000-0000-00006D020000}"/>
    <cellStyle name="Normal 4 2 4" xfId="358" xr:uid="{00000000-0005-0000-0000-00006E020000}"/>
    <cellStyle name="Normal 4 2 4 10" xfId="6393" xr:uid="{4AA5C5C3-59CA-4548-98C8-28C673FCAD9D}"/>
    <cellStyle name="Normal 4 2 4 11" xfId="2089" xr:uid="{A216F9D6-2CA7-4C4A-A454-120AB5EFF374}"/>
    <cellStyle name="Normal 4 2 4 12" xfId="1259" xr:uid="{AF57FDEF-667F-4336-816D-14B7B10B8D12}"/>
    <cellStyle name="Normal 4 2 4 13" xfId="10625" xr:uid="{F2C62285-98E0-4796-81C6-E304E9184C35}"/>
    <cellStyle name="Normal 4 2 4 2" xfId="359" xr:uid="{00000000-0005-0000-0000-00006F020000}"/>
    <cellStyle name="Normal 4 2 4 2 10" xfId="2090" xr:uid="{99B82038-A3A8-495A-BE49-0648A1D5E2A7}"/>
    <cellStyle name="Normal 4 2 4 2 11" xfId="1260" xr:uid="{C08AD045-555E-4D8A-B5AB-393F92B8B2B4}"/>
    <cellStyle name="Normal 4 2 4 2 12" xfId="10626" xr:uid="{ADE31691-6017-4FA9-B126-6A649B1E57FB}"/>
    <cellStyle name="Normal 4 2 4 2 2" xfId="360" xr:uid="{00000000-0005-0000-0000-000070020000}"/>
    <cellStyle name="Normal 4 2 4 2 2 10" xfId="1261" xr:uid="{5A121DC0-9DC6-401D-8049-032A62CB1BB6}"/>
    <cellStyle name="Normal 4 2 4 2 2 11" xfId="10627" xr:uid="{81339C22-19CA-4737-BBA9-4680470DB4B4}"/>
    <cellStyle name="Normal 4 2 4 2 2 2" xfId="361" xr:uid="{00000000-0005-0000-0000-000071020000}"/>
    <cellStyle name="Normal 4 2 4 2 2 2 10" xfId="10628" xr:uid="{B3DFF630-5995-43D6-8B91-DED8FAB6503A}"/>
    <cellStyle name="Normal 4 2 4 2 2 2 2" xfId="842" xr:uid="{00000000-0005-0000-0000-000072020000}"/>
    <cellStyle name="Normal 4 2 4 2 2 2 2 2" xfId="4736" xr:uid="{77BD3F6B-2F71-4B08-85E0-1798F6E65205}"/>
    <cellStyle name="Normal 4 2 4 2 2 2 2 2 2" xfId="8954" xr:uid="{8B410036-DBA7-43BB-A94C-2337B842DCBA}"/>
    <cellStyle name="Normal 4 2 4 2 2 2 2 3" xfId="6809" xr:uid="{56743132-E96C-426F-8051-46023D65D72B}"/>
    <cellStyle name="Normal 4 2 4 2 2 2 2 4" xfId="2507" xr:uid="{C46640E3-ACFC-4DB6-83A4-772798F0914B}"/>
    <cellStyle name="Normal 4 2 4 2 2 2 2 5" xfId="1678" xr:uid="{A751F2DC-AD14-4EF3-BB37-47400E46FE87}"/>
    <cellStyle name="Normal 4 2 4 2 2 2 2 6" xfId="11044" xr:uid="{552FB2C6-DBDF-4C77-96B6-DBFA1C6ACA44}"/>
    <cellStyle name="Normal 4 2 4 2 2 2 3" xfId="2920" xr:uid="{C05F041E-F119-4EE3-9C5E-9ECB5D1434D0}"/>
    <cellStyle name="Normal 4 2 4 2 2 2 3 2" xfId="5149" xr:uid="{3DCE6C08-3EBF-41EF-AFC5-D4A6BC4BE1EA}"/>
    <cellStyle name="Normal 4 2 4 2 2 2 3 2 2" xfId="9367" xr:uid="{15040443-E572-46CF-9825-41B58476FFC9}"/>
    <cellStyle name="Normal 4 2 4 2 2 2 3 3" xfId="7222" xr:uid="{58350F87-9D3F-4143-BF52-67E6EC00B76A}"/>
    <cellStyle name="Normal 4 2 4 2 2 2 4" xfId="3333" xr:uid="{25ABB6CD-48BC-4499-B010-CF5D8FFE989E}"/>
    <cellStyle name="Normal 4 2 4 2 2 2 4 2" xfId="5562" xr:uid="{8EB2ABB3-2B11-41AA-879E-E1B74D1814F8}"/>
    <cellStyle name="Normal 4 2 4 2 2 2 4 2 2" xfId="9780" xr:uid="{5EC8A259-34B5-4C1F-8F62-9ECB288E92FE}"/>
    <cellStyle name="Normal 4 2 4 2 2 2 4 3" xfId="7635" xr:uid="{39666B7A-F5C2-41A0-B8B2-A42EB120F3E9}"/>
    <cellStyle name="Normal 4 2 4 2 2 2 5" xfId="3746" xr:uid="{4ED88D57-28D6-494B-97DB-B9D2B6829E61}"/>
    <cellStyle name="Normal 4 2 4 2 2 2 5 2" xfId="5975" xr:uid="{17267344-B19D-4C63-8190-45089D158FEF}"/>
    <cellStyle name="Normal 4 2 4 2 2 2 5 2 2" xfId="10193" xr:uid="{D31D0EBD-0FD6-4F7A-945E-13B0FDDA3BE7}"/>
    <cellStyle name="Normal 4 2 4 2 2 2 5 3" xfId="8048" xr:uid="{F7A08BBD-8D5D-4E8D-B230-B8E025C7C959}"/>
    <cellStyle name="Normal 4 2 4 2 2 2 6" xfId="4182" xr:uid="{7694B761-5595-4472-B743-FB8269284025}"/>
    <cellStyle name="Normal 4 2 4 2 2 2 6 2" xfId="8461" xr:uid="{521E635C-F5AA-488B-863E-CB430817C76F}"/>
    <cellStyle name="Normal 4 2 4 2 2 2 7" xfId="6396" xr:uid="{D9A0C60B-99CB-4922-929E-DECEC3582E47}"/>
    <cellStyle name="Normal 4 2 4 2 2 2 8" xfId="2092" xr:uid="{A5C0CA1C-FEF7-4BCE-A756-92DCFE82750B}"/>
    <cellStyle name="Normal 4 2 4 2 2 2 9" xfId="1262" xr:uid="{B3DDA463-0497-4921-A84C-910B543442EF}"/>
    <cellStyle name="Normal 4 2 4 2 2 3" xfId="841" xr:uid="{00000000-0005-0000-0000-000073020000}"/>
    <cellStyle name="Normal 4 2 4 2 2 3 2" xfId="4735" xr:uid="{94F80587-9460-4C92-B952-26F8511CBB14}"/>
    <cellStyle name="Normal 4 2 4 2 2 3 2 2" xfId="8953" xr:uid="{24037CEA-52B5-4201-9008-77EF6B0B3368}"/>
    <cellStyle name="Normal 4 2 4 2 2 3 3" xfId="6808" xr:uid="{D24B664E-EA7C-4F58-AC98-406CCBCF5BDE}"/>
    <cellStyle name="Normal 4 2 4 2 2 3 4" xfId="2506" xr:uid="{722B40B5-41F3-4EF3-927E-484A85413703}"/>
    <cellStyle name="Normal 4 2 4 2 2 3 5" xfId="1677" xr:uid="{D0DBDC9A-0883-4C98-AAA9-49BCBE5410C9}"/>
    <cellStyle name="Normal 4 2 4 2 2 3 6" xfId="11043" xr:uid="{A679FCC2-64BD-4F0C-A0FE-B59393DD71B7}"/>
    <cellStyle name="Normal 4 2 4 2 2 4" xfId="2919" xr:uid="{D3728398-1BDB-41C5-838D-AF4E3DD92E37}"/>
    <cellStyle name="Normal 4 2 4 2 2 4 2" xfId="5148" xr:uid="{D31D1E14-FB61-4CE8-A997-92E3A868940F}"/>
    <cellStyle name="Normal 4 2 4 2 2 4 2 2" xfId="9366" xr:uid="{96E2CB98-F320-44EC-9CF9-A7F452C990A9}"/>
    <cellStyle name="Normal 4 2 4 2 2 4 3" xfId="7221" xr:uid="{09892600-9CEA-4204-B793-6D97FE0D7BCD}"/>
    <cellStyle name="Normal 4 2 4 2 2 5" xfId="3332" xr:uid="{C7265F71-9A28-426F-A95B-FF9BCB16AC39}"/>
    <cellStyle name="Normal 4 2 4 2 2 5 2" xfId="5561" xr:uid="{1A261C40-83E9-4A02-8923-37F57303E229}"/>
    <cellStyle name="Normal 4 2 4 2 2 5 2 2" xfId="9779" xr:uid="{D9582973-08D0-4D16-B264-4478B2A5C181}"/>
    <cellStyle name="Normal 4 2 4 2 2 5 3" xfId="7634" xr:uid="{AB96BDB2-4D63-477B-9568-88420E6C8D81}"/>
    <cellStyle name="Normal 4 2 4 2 2 6" xfId="3745" xr:uid="{527779FA-C23B-4643-8422-E71FBAE73F18}"/>
    <cellStyle name="Normal 4 2 4 2 2 6 2" xfId="5974" xr:uid="{876D6122-033B-4E6C-8F71-FDF02FBF0B95}"/>
    <cellStyle name="Normal 4 2 4 2 2 6 2 2" xfId="10192" xr:uid="{8C9E9B79-0C15-402D-BD10-766CF8381655}"/>
    <cellStyle name="Normal 4 2 4 2 2 6 3" xfId="8047" xr:uid="{2F72F905-E280-4584-A4CD-EC656313B9C1}"/>
    <cellStyle name="Normal 4 2 4 2 2 7" xfId="4181" xr:uid="{89BACFC9-3B49-4027-AD50-49B79A80DA56}"/>
    <cellStyle name="Normal 4 2 4 2 2 7 2" xfId="8460" xr:uid="{DF3F00A5-6A3E-49AA-B556-EE3F71D15CDF}"/>
    <cellStyle name="Normal 4 2 4 2 2 8" xfId="6395" xr:uid="{B684B2CA-A358-4227-848D-89C81FCEF3F2}"/>
    <cellStyle name="Normal 4 2 4 2 2 9" xfId="2091" xr:uid="{CBA9874E-2948-4132-A7F6-B417D3539017}"/>
    <cellStyle name="Normal 4 2 4 2 3" xfId="362" xr:uid="{00000000-0005-0000-0000-000074020000}"/>
    <cellStyle name="Normal 4 2 4 2 3 10" xfId="10629" xr:uid="{45F26A5D-F86A-49AF-B468-2D8B77278FD8}"/>
    <cellStyle name="Normal 4 2 4 2 3 2" xfId="843" xr:uid="{00000000-0005-0000-0000-000075020000}"/>
    <cellStyle name="Normal 4 2 4 2 3 2 2" xfId="4737" xr:uid="{91E1B135-9536-4680-82E1-CF1D7EE6B2BF}"/>
    <cellStyle name="Normal 4 2 4 2 3 2 2 2" xfId="8955" xr:uid="{7911A256-D74E-4C45-888E-68A1C1DA8754}"/>
    <cellStyle name="Normal 4 2 4 2 3 2 3" xfId="6810" xr:uid="{D4815C13-99A9-4ED4-B193-908FE8FB1482}"/>
    <cellStyle name="Normal 4 2 4 2 3 2 4" xfId="2508" xr:uid="{59E7F359-C491-456A-857C-8FD8E3D871CC}"/>
    <cellStyle name="Normal 4 2 4 2 3 2 5" xfId="1679" xr:uid="{EA687338-87FB-40FA-95A0-48CBB1D3C3BC}"/>
    <cellStyle name="Normal 4 2 4 2 3 2 6" xfId="11045" xr:uid="{CBB5A046-F792-45E3-9BAE-0C1D62F0CB0E}"/>
    <cellStyle name="Normal 4 2 4 2 3 3" xfId="2921" xr:uid="{CE3D9A59-9334-49E5-9C4B-80AA66019916}"/>
    <cellStyle name="Normal 4 2 4 2 3 3 2" xfId="5150" xr:uid="{67A6711F-DEC2-43FA-A963-9A4AB030109E}"/>
    <cellStyle name="Normal 4 2 4 2 3 3 2 2" xfId="9368" xr:uid="{002D628F-EC10-4E1E-B4D4-AC562FA63883}"/>
    <cellStyle name="Normal 4 2 4 2 3 3 3" xfId="7223" xr:uid="{F268471D-EEFE-40C4-A859-77C62E7E5736}"/>
    <cellStyle name="Normal 4 2 4 2 3 4" xfId="3334" xr:uid="{59187F66-AF52-4745-9C16-5F0EF228311B}"/>
    <cellStyle name="Normal 4 2 4 2 3 4 2" xfId="5563" xr:uid="{2F785397-E721-4D2D-961A-8D73006F8A3C}"/>
    <cellStyle name="Normal 4 2 4 2 3 4 2 2" xfId="9781" xr:uid="{CAF07E9F-E633-4CA3-A5E5-5141E16F0C37}"/>
    <cellStyle name="Normal 4 2 4 2 3 4 3" xfId="7636" xr:uid="{54C76152-BB0F-4CBB-8A48-5C9EA197E161}"/>
    <cellStyle name="Normal 4 2 4 2 3 5" xfId="3747" xr:uid="{5F9D9725-7165-4BDF-A70C-9803A4A803A4}"/>
    <cellStyle name="Normal 4 2 4 2 3 5 2" xfId="5976" xr:uid="{AF03B74F-2C9D-4E16-8504-A42C6DE3CA29}"/>
    <cellStyle name="Normal 4 2 4 2 3 5 2 2" xfId="10194" xr:uid="{F0CCE3AC-071F-4AFB-99B5-A971A64C0E86}"/>
    <cellStyle name="Normal 4 2 4 2 3 5 3" xfId="8049" xr:uid="{BF159194-859A-449F-95F3-D183B942B1A4}"/>
    <cellStyle name="Normal 4 2 4 2 3 6" xfId="4183" xr:uid="{170403A1-727C-48F2-9F24-0C9F726DDCE5}"/>
    <cellStyle name="Normal 4 2 4 2 3 6 2" xfId="8462" xr:uid="{C861B130-1416-4E46-B167-CA0858C5B674}"/>
    <cellStyle name="Normal 4 2 4 2 3 7" xfId="6397" xr:uid="{3BB6553A-2DC0-4A1B-A517-C2A1178E2C85}"/>
    <cellStyle name="Normal 4 2 4 2 3 8" xfId="2093" xr:uid="{0DE972BA-2D5E-4D75-9311-5F52EB4FDCC7}"/>
    <cellStyle name="Normal 4 2 4 2 3 9" xfId="1263" xr:uid="{3AE1F5E7-92B5-452A-9152-424C01DF63C1}"/>
    <cellStyle name="Normal 4 2 4 2 4" xfId="840" xr:uid="{00000000-0005-0000-0000-000076020000}"/>
    <cellStyle name="Normal 4 2 4 2 4 2" xfId="4734" xr:uid="{CF336FE7-D3AA-4235-9CB7-A92D1C2DBA92}"/>
    <cellStyle name="Normal 4 2 4 2 4 2 2" xfId="8952" xr:uid="{3158C0FB-E15D-455A-BE29-3D283BEA9DE5}"/>
    <cellStyle name="Normal 4 2 4 2 4 3" xfId="6807" xr:uid="{AA0058BB-BD92-4C41-8B90-E3FDDF0E0A84}"/>
    <cellStyle name="Normal 4 2 4 2 4 4" xfId="2505" xr:uid="{129CB841-6E1C-49A2-A0A5-6D161E97ADCA}"/>
    <cellStyle name="Normal 4 2 4 2 4 5" xfId="1676" xr:uid="{F0DD4443-39AC-40DC-BB40-B230E1FC32D9}"/>
    <cellStyle name="Normal 4 2 4 2 4 6" xfId="11042" xr:uid="{EB0A1F9F-2655-454F-9C13-C4C3F51D90CE}"/>
    <cellStyle name="Normal 4 2 4 2 5" xfId="2918" xr:uid="{84BF8142-B58C-4D12-81BE-00A42AE14F05}"/>
    <cellStyle name="Normal 4 2 4 2 5 2" xfId="5147" xr:uid="{F852EB53-9227-47B4-A636-D2BEE0BD71E7}"/>
    <cellStyle name="Normal 4 2 4 2 5 2 2" xfId="9365" xr:uid="{F6379D70-F7C9-412C-8C30-919383AB01B3}"/>
    <cellStyle name="Normal 4 2 4 2 5 3" xfId="7220" xr:uid="{19A2C28C-C839-44CD-99BC-0D8ECADF1FF5}"/>
    <cellStyle name="Normal 4 2 4 2 6" xfId="3331" xr:uid="{9844008A-045E-41CF-9E76-A27623C8D499}"/>
    <cellStyle name="Normal 4 2 4 2 6 2" xfId="5560" xr:uid="{35F17A6B-B5BA-4DA2-AE0C-CABB24FD3993}"/>
    <cellStyle name="Normal 4 2 4 2 6 2 2" xfId="9778" xr:uid="{E8DB9D70-8C8C-4F7B-8C3E-4941DA0214C4}"/>
    <cellStyle name="Normal 4 2 4 2 6 3" xfId="7633" xr:uid="{204B9DB0-A472-405C-B994-90A74D3C7735}"/>
    <cellStyle name="Normal 4 2 4 2 7" xfId="3744" xr:uid="{6CD303F8-CA15-4D52-A1B0-33EF7A740778}"/>
    <cellStyle name="Normal 4 2 4 2 7 2" xfId="5973" xr:uid="{5B83D0A0-8A23-4F92-A5F5-981D824300B9}"/>
    <cellStyle name="Normal 4 2 4 2 7 2 2" xfId="10191" xr:uid="{C6599356-F02E-4C3D-82DB-61BDBFE0EC6B}"/>
    <cellStyle name="Normal 4 2 4 2 7 3" xfId="8046" xr:uid="{5B65C95E-9343-4374-8278-8A400C311E83}"/>
    <cellStyle name="Normal 4 2 4 2 8" xfId="4180" xr:uid="{528E6389-6F63-4B90-80BA-204BD60861B0}"/>
    <cellStyle name="Normal 4 2 4 2 8 2" xfId="8459" xr:uid="{F2ACEBB8-4E7F-44FA-916C-36AB4A237F35}"/>
    <cellStyle name="Normal 4 2 4 2 9" xfId="6394" xr:uid="{565D59EF-FE14-44F2-A90A-98EF9F99DBA2}"/>
    <cellStyle name="Normal 4 2 4 3" xfId="363" xr:uid="{00000000-0005-0000-0000-000077020000}"/>
    <cellStyle name="Normal 4 2 4 3 10" xfId="1264" xr:uid="{2DDCBD06-DA9E-41F4-9225-E78894ECEEC4}"/>
    <cellStyle name="Normal 4 2 4 3 11" xfId="10630" xr:uid="{1AA643BE-FA39-46FC-9E93-7BDFAC1D8924}"/>
    <cellStyle name="Normal 4 2 4 3 2" xfId="364" xr:uid="{00000000-0005-0000-0000-000078020000}"/>
    <cellStyle name="Normal 4 2 4 3 2 10" xfId="10631" xr:uid="{ECF5B8DE-5E13-4AE6-8993-C15771D7E2E1}"/>
    <cellStyle name="Normal 4 2 4 3 2 2" xfId="845" xr:uid="{00000000-0005-0000-0000-000079020000}"/>
    <cellStyle name="Normal 4 2 4 3 2 2 2" xfId="4739" xr:uid="{43D83E16-64BD-4C80-94BF-D82AC24E3CD1}"/>
    <cellStyle name="Normal 4 2 4 3 2 2 2 2" xfId="8957" xr:uid="{F8EF384E-AD22-4AA5-9627-27A38FA39E80}"/>
    <cellStyle name="Normal 4 2 4 3 2 2 3" xfId="6812" xr:uid="{034F2B53-35AF-4E47-BE3B-3056ED985786}"/>
    <cellStyle name="Normal 4 2 4 3 2 2 4" xfId="2510" xr:uid="{8E564491-E784-4D29-B5A3-279FC2ED2957}"/>
    <cellStyle name="Normal 4 2 4 3 2 2 5" xfId="1681" xr:uid="{47A38D93-3546-4F7D-AE26-D49D8D9B37C4}"/>
    <cellStyle name="Normal 4 2 4 3 2 2 6" xfId="11047" xr:uid="{4292411D-104C-4B7D-8E6F-CF9563196BF0}"/>
    <cellStyle name="Normal 4 2 4 3 2 3" xfId="2923" xr:uid="{84CAD36B-E3B2-40F0-BCB2-14806A92CF25}"/>
    <cellStyle name="Normal 4 2 4 3 2 3 2" xfId="5152" xr:uid="{A22957F1-BC23-4215-BB81-AB0661102924}"/>
    <cellStyle name="Normal 4 2 4 3 2 3 2 2" xfId="9370" xr:uid="{B6C05C2B-4B79-40D9-B23D-A422E50B856E}"/>
    <cellStyle name="Normal 4 2 4 3 2 3 3" xfId="7225" xr:uid="{F8CA0291-FBF9-4DD2-992B-947BFE726EB7}"/>
    <cellStyle name="Normal 4 2 4 3 2 4" xfId="3336" xr:uid="{F1347310-EFC6-4E68-915F-3FB02615CF87}"/>
    <cellStyle name="Normal 4 2 4 3 2 4 2" xfId="5565" xr:uid="{34A381C0-CA0F-4834-BB5D-54696EEFE032}"/>
    <cellStyle name="Normal 4 2 4 3 2 4 2 2" xfId="9783" xr:uid="{7DDE5477-6C06-4C23-AD01-3EDE744DB639}"/>
    <cellStyle name="Normal 4 2 4 3 2 4 3" xfId="7638" xr:uid="{FA67A959-2075-415C-8087-F6D3458E34EE}"/>
    <cellStyle name="Normal 4 2 4 3 2 5" xfId="3749" xr:uid="{7885F14B-3068-4E38-BEF6-2DDB2E33DD8C}"/>
    <cellStyle name="Normal 4 2 4 3 2 5 2" xfId="5978" xr:uid="{3A3CC227-3488-43F3-A331-E5647DF216D4}"/>
    <cellStyle name="Normal 4 2 4 3 2 5 2 2" xfId="10196" xr:uid="{5A31B42B-E6CF-4A8C-BA75-0F178240B3D1}"/>
    <cellStyle name="Normal 4 2 4 3 2 5 3" xfId="8051" xr:uid="{F4773915-DC31-4F74-AB01-DCE5A1FAD94A}"/>
    <cellStyle name="Normal 4 2 4 3 2 6" xfId="4185" xr:uid="{8E7B8AE8-48E7-4BDB-B576-BDAC07BD1BB5}"/>
    <cellStyle name="Normal 4 2 4 3 2 6 2" xfId="8464" xr:uid="{AA22191C-2BE9-4061-A71C-38AEF4BE4A5A}"/>
    <cellStyle name="Normal 4 2 4 3 2 7" xfId="6399" xr:uid="{FDA77E33-8FCF-46CB-AEF2-D8AB25EF90AF}"/>
    <cellStyle name="Normal 4 2 4 3 2 8" xfId="2095" xr:uid="{FDDD59E2-A777-44F1-9E7A-529A32DB1B56}"/>
    <cellStyle name="Normal 4 2 4 3 2 9" xfId="1265" xr:uid="{9E6CA152-A7DE-4C51-BA22-20039EDD100E}"/>
    <cellStyle name="Normal 4 2 4 3 3" xfId="844" xr:uid="{00000000-0005-0000-0000-00007A020000}"/>
    <cellStyle name="Normal 4 2 4 3 3 2" xfId="4738" xr:uid="{83751257-2537-4AC9-8667-0759AC0D3D3F}"/>
    <cellStyle name="Normal 4 2 4 3 3 2 2" xfId="8956" xr:uid="{FE2B21A9-5549-48A4-8ECE-56201E7B3556}"/>
    <cellStyle name="Normal 4 2 4 3 3 3" xfId="6811" xr:uid="{8A056B1E-63CF-43B7-AFB7-7FF18228D847}"/>
    <cellStyle name="Normal 4 2 4 3 3 4" xfId="2509" xr:uid="{F1BFCD8B-3C4A-474D-B390-D73973BBF551}"/>
    <cellStyle name="Normal 4 2 4 3 3 5" xfId="1680" xr:uid="{607527F2-8973-4E78-9911-1379ABA991ED}"/>
    <cellStyle name="Normal 4 2 4 3 3 6" xfId="11046" xr:uid="{8EE47E05-EAF0-4A91-AF17-4A65765A54AB}"/>
    <cellStyle name="Normal 4 2 4 3 4" xfId="2922" xr:uid="{0FCAC191-5EA0-4C84-B497-4FD6212EDD2E}"/>
    <cellStyle name="Normal 4 2 4 3 4 2" xfId="5151" xr:uid="{2C12787A-BD06-4ABE-950A-9E74E4BC6DA5}"/>
    <cellStyle name="Normal 4 2 4 3 4 2 2" xfId="9369" xr:uid="{5A86A40A-4DB0-4A9B-82CE-6EB968F46E7D}"/>
    <cellStyle name="Normal 4 2 4 3 4 3" xfId="7224" xr:uid="{9CD1556A-41A4-4FA8-BA2B-0E2E41014A33}"/>
    <cellStyle name="Normal 4 2 4 3 5" xfId="3335" xr:uid="{746E5A79-B258-45C2-91D6-2FEB391BEEFA}"/>
    <cellStyle name="Normal 4 2 4 3 5 2" xfId="5564" xr:uid="{281E518E-45C0-4A4D-ACAD-9ED9E58A872F}"/>
    <cellStyle name="Normal 4 2 4 3 5 2 2" xfId="9782" xr:uid="{DE110F18-1A92-4009-AC10-579A9F40DF07}"/>
    <cellStyle name="Normal 4 2 4 3 5 3" xfId="7637" xr:uid="{939F09A3-C831-4576-873F-01634FA2520A}"/>
    <cellStyle name="Normal 4 2 4 3 6" xfId="3748" xr:uid="{2FCC9860-0D07-4F66-8F88-AF73AAC77EE6}"/>
    <cellStyle name="Normal 4 2 4 3 6 2" xfId="5977" xr:uid="{7D82D442-15B9-4667-BA67-1FE301F2005F}"/>
    <cellStyle name="Normal 4 2 4 3 6 2 2" xfId="10195" xr:uid="{93CC42A3-AB26-4165-8F02-714DBC809C7F}"/>
    <cellStyle name="Normal 4 2 4 3 6 3" xfId="8050" xr:uid="{5E0D58F1-236C-4299-8220-8A3858BA3F4A}"/>
    <cellStyle name="Normal 4 2 4 3 7" xfId="4184" xr:uid="{EA78DDD2-9EA3-4A31-A4E7-7B976D54D1B6}"/>
    <cellStyle name="Normal 4 2 4 3 7 2" xfId="8463" xr:uid="{06538599-319D-4E49-90C4-D8E8A020C140}"/>
    <cellStyle name="Normal 4 2 4 3 8" xfId="6398" xr:uid="{2745889C-A64F-44A1-A29B-B27EBC9231B2}"/>
    <cellStyle name="Normal 4 2 4 3 9" xfId="2094" xr:uid="{A14F7940-AF90-42F5-82BA-D8BC66BACB6E}"/>
    <cellStyle name="Normal 4 2 4 4" xfId="365" xr:uid="{00000000-0005-0000-0000-00007B020000}"/>
    <cellStyle name="Normal 4 2 4 4 10" xfId="10632" xr:uid="{8B5C513C-F7D2-45F8-A687-FAF0B590E97F}"/>
    <cellStyle name="Normal 4 2 4 4 2" xfId="846" xr:uid="{00000000-0005-0000-0000-00007C020000}"/>
    <cellStyle name="Normal 4 2 4 4 2 2" xfId="4740" xr:uid="{2E6D470E-25A7-43D1-94B6-9A75F1A1584F}"/>
    <cellStyle name="Normal 4 2 4 4 2 2 2" xfId="8958" xr:uid="{6F5387CE-E682-4E66-B995-4032E790BD20}"/>
    <cellStyle name="Normal 4 2 4 4 2 3" xfId="6813" xr:uid="{CE7F1E2D-9D51-4EBC-8467-2EA276726355}"/>
    <cellStyle name="Normal 4 2 4 4 2 4" xfId="2511" xr:uid="{713524CB-4B18-4BF4-BA6A-BD42C2DE3C8E}"/>
    <cellStyle name="Normal 4 2 4 4 2 5" xfId="1682" xr:uid="{E865A4E9-FB1E-4B18-9CAA-BA8E1AFFC821}"/>
    <cellStyle name="Normal 4 2 4 4 2 6" xfId="11048" xr:uid="{FC751C65-3343-4160-8A36-4B1D426EA77A}"/>
    <cellStyle name="Normal 4 2 4 4 3" xfId="2924" xr:uid="{F8FB07E4-A0F5-4ADA-96CD-881740A5B1AB}"/>
    <cellStyle name="Normal 4 2 4 4 3 2" xfId="5153" xr:uid="{DCA28DFE-1A93-46C3-9081-55C37B10D634}"/>
    <cellStyle name="Normal 4 2 4 4 3 2 2" xfId="9371" xr:uid="{F104FC39-22ED-4A58-ADED-3BE1EDF122DE}"/>
    <cellStyle name="Normal 4 2 4 4 3 3" xfId="7226" xr:uid="{C2967E78-EA16-47BF-9647-8D8BBC1ECE57}"/>
    <cellStyle name="Normal 4 2 4 4 4" xfId="3337" xr:uid="{96E37169-245C-4097-B386-A336BF81D94F}"/>
    <cellStyle name="Normal 4 2 4 4 4 2" xfId="5566" xr:uid="{39FCBA98-B01E-43C4-99AA-19A5C8220BC9}"/>
    <cellStyle name="Normal 4 2 4 4 4 2 2" xfId="9784" xr:uid="{164D2A19-4A1D-4E17-BCA7-6006ECBD11E6}"/>
    <cellStyle name="Normal 4 2 4 4 4 3" xfId="7639" xr:uid="{686EBF86-D45E-4A54-B118-4C0FD0F85B01}"/>
    <cellStyle name="Normal 4 2 4 4 5" xfId="3750" xr:uid="{6E1FEBA2-0F0B-4B05-BCB7-0AFB9B7BAFB9}"/>
    <cellStyle name="Normal 4 2 4 4 5 2" xfId="5979" xr:uid="{0C4BBB05-FD52-41C3-BC49-298E80070A48}"/>
    <cellStyle name="Normal 4 2 4 4 5 2 2" xfId="10197" xr:uid="{A68C5E8A-A5B2-4BFD-AD4E-EE14622D5B21}"/>
    <cellStyle name="Normal 4 2 4 4 5 3" xfId="8052" xr:uid="{8E80B478-3DC6-482A-85CA-3847019491E5}"/>
    <cellStyle name="Normal 4 2 4 4 6" xfId="4186" xr:uid="{D6DBE21A-196D-417B-808F-7BCAB1FA23BF}"/>
    <cellStyle name="Normal 4 2 4 4 6 2" xfId="8465" xr:uid="{BB637233-4487-4FB1-9AA1-0B9E43F35E53}"/>
    <cellStyle name="Normal 4 2 4 4 7" xfId="6400" xr:uid="{F9F0133D-053A-4A21-93C2-3F7A1CC8B1ED}"/>
    <cellStyle name="Normal 4 2 4 4 8" xfId="2096" xr:uid="{80EFFDE9-34BC-4A20-B4E7-3144C4B14C76}"/>
    <cellStyle name="Normal 4 2 4 4 9" xfId="1266" xr:uid="{12C1B8A1-DDA4-45BB-86DD-9CCB64CBC7A8}"/>
    <cellStyle name="Normal 4 2 4 5" xfId="839" xr:uid="{00000000-0005-0000-0000-00007D020000}"/>
    <cellStyle name="Normal 4 2 4 5 2" xfId="4733" xr:uid="{E783257A-95F8-4040-8852-C2A98A19F58F}"/>
    <cellStyle name="Normal 4 2 4 5 2 2" xfId="8951" xr:uid="{63B70F49-2390-47DE-B87E-906C374A77B4}"/>
    <cellStyle name="Normal 4 2 4 5 3" xfId="6806" xr:uid="{31A22400-A37D-4FE3-8BFA-AFC375076C62}"/>
    <cellStyle name="Normal 4 2 4 5 4" xfId="2504" xr:uid="{DC482D1C-B728-4787-8D02-A23B5F8E080E}"/>
    <cellStyle name="Normal 4 2 4 5 5" xfId="1675" xr:uid="{8695B5C6-D184-40E4-B277-D5E0E402F725}"/>
    <cellStyle name="Normal 4 2 4 5 6" xfId="11041" xr:uid="{BB1FA495-B582-4505-83E9-19B1C6B70B71}"/>
    <cellStyle name="Normal 4 2 4 6" xfId="2917" xr:uid="{0BA2BCD7-5B91-4058-AC6F-D8C6F45EA271}"/>
    <cellStyle name="Normal 4 2 4 6 2" xfId="5146" xr:uid="{3355E2A3-61DF-4958-918A-B350465833F4}"/>
    <cellStyle name="Normal 4 2 4 6 2 2" xfId="9364" xr:uid="{CF65CB57-4A3E-4C4B-A94D-331EF97890DA}"/>
    <cellStyle name="Normal 4 2 4 6 3" xfId="7219" xr:uid="{2377F797-943D-4F9C-8136-BE35D5EB0CCC}"/>
    <cellStyle name="Normal 4 2 4 7" xfId="3330" xr:uid="{A155EA88-BA20-4745-8571-DD1F5C778933}"/>
    <cellStyle name="Normal 4 2 4 7 2" xfId="5559" xr:uid="{AA085313-230A-4D88-BFAA-0601E372393F}"/>
    <cellStyle name="Normal 4 2 4 7 2 2" xfId="9777" xr:uid="{5891AF95-0855-4D31-8C44-480CC690C6AF}"/>
    <cellStyle name="Normal 4 2 4 7 3" xfId="7632" xr:uid="{C94920AD-6173-4EE1-B42B-A45C63DB8B52}"/>
    <cellStyle name="Normal 4 2 4 8" xfId="3743" xr:uid="{B6471CD2-D1B4-42FD-9511-5C01DA4A23CE}"/>
    <cellStyle name="Normal 4 2 4 8 2" xfId="5972" xr:uid="{DFC8D327-2372-4AAF-91EE-602A62572411}"/>
    <cellStyle name="Normal 4 2 4 8 2 2" xfId="10190" xr:uid="{8CF67C2A-66FB-4117-AF11-3D3842B89474}"/>
    <cellStyle name="Normal 4 2 4 8 3" xfId="8045" xr:uid="{D25D29B0-D575-47A1-B072-E9FF0B64BAB2}"/>
    <cellStyle name="Normal 4 2 4 9" xfId="4179" xr:uid="{ECD8E49A-B068-4F48-BA44-53E6DE81066F}"/>
    <cellStyle name="Normal 4 2 4 9 2" xfId="8458" xr:uid="{141342D2-D78B-4833-9607-74A5DDA66380}"/>
    <cellStyle name="Normal 4 2 5" xfId="366" xr:uid="{00000000-0005-0000-0000-00007E020000}"/>
    <cellStyle name="Normal 4 2 5 10" xfId="1267" xr:uid="{0C99D42C-7EED-4001-B30D-CF1BC7CE6640}"/>
    <cellStyle name="Normal 4 2 5 11" xfId="10633" xr:uid="{3432FBDD-D5BB-45FB-A513-7D99FBFF15CE}"/>
    <cellStyle name="Normal 4 2 5 2" xfId="367" xr:uid="{00000000-0005-0000-0000-00007F020000}"/>
    <cellStyle name="Normal 4 2 5 2 10" xfId="10634" xr:uid="{2FF05DBC-22D3-45D7-987B-1D12FABB20FE}"/>
    <cellStyle name="Normal 4 2 5 2 2" xfId="848" xr:uid="{00000000-0005-0000-0000-000080020000}"/>
    <cellStyle name="Normal 4 2 5 2 2 2" xfId="4742" xr:uid="{13AF71D7-BBBF-481D-9BB6-1524BA69AE2E}"/>
    <cellStyle name="Normal 4 2 5 2 2 2 2" xfId="8960" xr:uid="{4380F092-3EDE-47C2-9E7D-335EBE91BED1}"/>
    <cellStyle name="Normal 4 2 5 2 2 3" xfId="6815" xr:uid="{4FA6272A-A6D1-4274-B2BC-70B1892B6D95}"/>
    <cellStyle name="Normal 4 2 5 2 2 4" xfId="2513" xr:uid="{A163E5DA-5497-4A1F-9133-40AB8BE3B2EC}"/>
    <cellStyle name="Normal 4 2 5 2 2 5" xfId="1684" xr:uid="{96507B2A-078F-4C4A-8F0A-474198E5D99E}"/>
    <cellStyle name="Normal 4 2 5 2 2 6" xfId="11050" xr:uid="{95C9A8E1-5530-4BC8-A824-0292364BEB2F}"/>
    <cellStyle name="Normal 4 2 5 2 3" xfId="2926" xr:uid="{AF8DC424-0A13-46AE-90FC-76F0284284A0}"/>
    <cellStyle name="Normal 4 2 5 2 3 2" xfId="5155" xr:uid="{978CF8FB-281A-47ED-97AD-BE57B1ED992C}"/>
    <cellStyle name="Normal 4 2 5 2 3 2 2" xfId="9373" xr:uid="{48CF40BF-65A2-494D-9790-F55F3C04E4E7}"/>
    <cellStyle name="Normal 4 2 5 2 3 3" xfId="7228" xr:uid="{6703BE30-7170-47F0-8E78-9A4EDA2CAD0C}"/>
    <cellStyle name="Normal 4 2 5 2 4" xfId="3339" xr:uid="{3C954A56-4845-4A2A-8E6A-DA18C63FCB22}"/>
    <cellStyle name="Normal 4 2 5 2 4 2" xfId="5568" xr:uid="{F4D2640B-140A-4EAE-A19A-0CAE975D0A57}"/>
    <cellStyle name="Normal 4 2 5 2 4 2 2" xfId="9786" xr:uid="{C8EB9417-7695-4A13-A939-E6B586A9FBB2}"/>
    <cellStyle name="Normal 4 2 5 2 4 3" xfId="7641" xr:uid="{70F1E3BE-CB9D-426E-BB3F-815854B2DCDC}"/>
    <cellStyle name="Normal 4 2 5 2 5" xfId="3752" xr:uid="{654487F1-A13A-4059-8BA5-6DF361EBF218}"/>
    <cellStyle name="Normal 4 2 5 2 5 2" xfId="5981" xr:uid="{ABC6442C-20A1-4127-BAE8-419E64060608}"/>
    <cellStyle name="Normal 4 2 5 2 5 2 2" xfId="10199" xr:uid="{19A3BA26-7B65-42F4-ACC4-FBFBD54508E6}"/>
    <cellStyle name="Normal 4 2 5 2 5 3" xfId="8054" xr:uid="{313B9F29-8C6F-4D41-AC25-71FC5B08C071}"/>
    <cellStyle name="Normal 4 2 5 2 6" xfId="4188" xr:uid="{A7DD3D46-F577-451E-B575-3A8A0B4B648D}"/>
    <cellStyle name="Normal 4 2 5 2 6 2" xfId="8467" xr:uid="{93599303-0BE7-4D62-B013-9D187D9ADC12}"/>
    <cellStyle name="Normal 4 2 5 2 7" xfId="6402" xr:uid="{70EEF36E-9309-488D-9306-54D7D4684C7D}"/>
    <cellStyle name="Normal 4 2 5 2 8" xfId="2098" xr:uid="{06992D10-0003-45DB-8F94-A42399A2CEA7}"/>
    <cellStyle name="Normal 4 2 5 2 9" xfId="1268" xr:uid="{FEE118B9-C343-4518-81CE-36DC24E745BC}"/>
    <cellStyle name="Normal 4 2 5 3" xfId="847" xr:uid="{00000000-0005-0000-0000-000081020000}"/>
    <cellStyle name="Normal 4 2 5 3 2" xfId="4741" xr:uid="{D36765E1-3DA5-48E2-A6E9-5389A5E600C7}"/>
    <cellStyle name="Normal 4 2 5 3 2 2" xfId="8959" xr:uid="{28B5A407-699A-4DD1-991F-DBC5F5547F5B}"/>
    <cellStyle name="Normal 4 2 5 3 3" xfId="6814" xr:uid="{B2EE1174-87A0-4D7D-9504-6D9BA0AF7FFA}"/>
    <cellStyle name="Normal 4 2 5 3 4" xfId="2512" xr:uid="{01B7AAAA-0B8B-4952-BBCA-2BB7BA350B59}"/>
    <cellStyle name="Normal 4 2 5 3 5" xfId="1683" xr:uid="{48587D69-F141-4AAC-B6BF-DE8BA266BB69}"/>
    <cellStyle name="Normal 4 2 5 3 6" xfId="11049" xr:uid="{019C6196-2065-4724-A4D0-E4A40437C828}"/>
    <cellStyle name="Normal 4 2 5 4" xfId="2925" xr:uid="{B1B60932-12BD-4F41-B55D-8C070AF1C02E}"/>
    <cellStyle name="Normal 4 2 5 4 2" xfId="5154" xr:uid="{6F48960D-8118-47A7-81A3-C3A42730AE1A}"/>
    <cellStyle name="Normal 4 2 5 4 2 2" xfId="9372" xr:uid="{07143B37-56CB-4BE5-B1FF-8CDCCEB91BFE}"/>
    <cellStyle name="Normal 4 2 5 4 3" xfId="7227" xr:uid="{8CFCE65E-1D2A-4E7B-824D-88471C353394}"/>
    <cellStyle name="Normal 4 2 5 5" xfId="3338" xr:uid="{2D7466B8-F079-4325-A66B-30EE6849647D}"/>
    <cellStyle name="Normal 4 2 5 5 2" xfId="5567" xr:uid="{0D286326-92FA-4913-93F8-0EE408A4B5DE}"/>
    <cellStyle name="Normal 4 2 5 5 2 2" xfId="9785" xr:uid="{6E77E521-7B5B-4AD7-8C7F-A58F54E05ED4}"/>
    <cellStyle name="Normal 4 2 5 5 3" xfId="7640" xr:uid="{DDC1DD66-59D3-420A-A041-5D58EBC7B5DE}"/>
    <cellStyle name="Normal 4 2 5 6" xfId="3751" xr:uid="{C7BC4BCA-A7E6-4419-94C5-B14143026AD8}"/>
    <cellStyle name="Normal 4 2 5 6 2" xfId="5980" xr:uid="{1FD1A89F-3EBC-4A49-8DCE-DFB59AFE75C7}"/>
    <cellStyle name="Normal 4 2 5 6 2 2" xfId="10198" xr:uid="{7C2CA6BD-4854-4FF5-9E92-650C81192031}"/>
    <cellStyle name="Normal 4 2 5 6 3" xfId="8053" xr:uid="{0F039731-5117-4CBE-923A-D42CD4ADF0B3}"/>
    <cellStyle name="Normal 4 2 5 7" xfId="4187" xr:uid="{86D0DE38-FC2B-468D-9D38-3668E60E0B55}"/>
    <cellStyle name="Normal 4 2 5 7 2" xfId="8466" xr:uid="{C00351F2-49F1-49A3-821D-F57C177FF75C}"/>
    <cellStyle name="Normal 4 2 5 8" xfId="6401" xr:uid="{99BFD0DB-D4BE-4303-A7C2-60CA8037089C}"/>
    <cellStyle name="Normal 4 2 5 9" xfId="2097" xr:uid="{05EC75A8-7030-48B3-9633-05AB2AED8729}"/>
    <cellStyle name="Normal 4 2 6" xfId="368" xr:uid="{00000000-0005-0000-0000-000082020000}"/>
    <cellStyle name="Normal 4 2 6 10" xfId="10635" xr:uid="{D91F7057-7A2F-4224-91FB-973765F3E17A}"/>
    <cellStyle name="Normal 4 2 6 2" xfId="849" xr:uid="{00000000-0005-0000-0000-000083020000}"/>
    <cellStyle name="Normal 4 2 6 2 2" xfId="4743" xr:uid="{2A0A6FA5-4C42-4CC9-B720-C7AB5AB8217C}"/>
    <cellStyle name="Normal 4 2 6 2 2 2" xfId="8961" xr:uid="{ACAD9794-48CD-41EA-B9A7-8A2DBC3661E7}"/>
    <cellStyle name="Normal 4 2 6 2 3" xfId="6816" xr:uid="{6B1AC022-894A-4452-BDE6-52C883DC794D}"/>
    <cellStyle name="Normal 4 2 6 2 4" xfId="2514" xr:uid="{389310B5-BB60-4B2C-AD79-006745EB904F}"/>
    <cellStyle name="Normal 4 2 6 2 5" xfId="1685" xr:uid="{FEE8D60B-9327-4771-ADCE-47253D06B844}"/>
    <cellStyle name="Normal 4 2 6 2 6" xfId="11051" xr:uid="{161985FC-E04B-4056-81EA-E6113735C03D}"/>
    <cellStyle name="Normal 4 2 6 3" xfId="2927" xr:uid="{268E29BA-672B-44F4-88AA-E2A565B92664}"/>
    <cellStyle name="Normal 4 2 6 3 2" xfId="5156" xr:uid="{0BDAC71A-6703-4F85-B766-ED19782129BD}"/>
    <cellStyle name="Normal 4 2 6 3 2 2" xfId="9374" xr:uid="{278247D0-8F7D-4B7F-AD7B-D555B7E4E85D}"/>
    <cellStyle name="Normal 4 2 6 3 3" xfId="7229" xr:uid="{7D3AF45F-FA29-4A95-A3ED-DA3FE48C2668}"/>
    <cellStyle name="Normal 4 2 6 4" xfId="3340" xr:uid="{59E8AE0F-C9AD-4523-87E3-241F8A80FCCF}"/>
    <cellStyle name="Normal 4 2 6 4 2" xfId="5569" xr:uid="{7C25C4CA-E7A7-4B72-A9C7-7626C665C8F3}"/>
    <cellStyle name="Normal 4 2 6 4 2 2" xfId="9787" xr:uid="{56416E96-DAE6-4DFA-A0D1-F4FE3867F152}"/>
    <cellStyle name="Normal 4 2 6 4 3" xfId="7642" xr:uid="{B901542E-F0ED-4329-9857-313A613D64E3}"/>
    <cellStyle name="Normal 4 2 6 5" xfId="3753" xr:uid="{28F0FB23-CFCD-4513-A2CF-04C6F4D1CA45}"/>
    <cellStyle name="Normal 4 2 6 5 2" xfId="5982" xr:uid="{99E24122-72DA-4731-A842-71303D69FF9B}"/>
    <cellStyle name="Normal 4 2 6 5 2 2" xfId="10200" xr:uid="{92BC8BA9-78A3-421B-A979-DA9FEA40DB6A}"/>
    <cellStyle name="Normal 4 2 6 5 3" xfId="8055" xr:uid="{4CC08C03-B579-4FA9-8B8A-D4A9BD06B0A6}"/>
    <cellStyle name="Normal 4 2 6 6" xfId="4189" xr:uid="{4396428E-F064-48DB-876A-E952ACF3E37A}"/>
    <cellStyle name="Normal 4 2 6 6 2" xfId="8468" xr:uid="{C0AA9661-8E3E-4AC8-ACF6-40BE046A7BC0}"/>
    <cellStyle name="Normal 4 2 6 7" xfId="6403" xr:uid="{6CA46EB7-3E70-4F8E-8A5A-BDC5300C22B5}"/>
    <cellStyle name="Normal 4 2 6 8" xfId="2099" xr:uid="{FA434DBD-A5A7-4C9B-A02D-39E6A9F7B760}"/>
    <cellStyle name="Normal 4 2 6 9" xfId="1269" xr:uid="{49B30E18-0251-4232-A6DA-2AD2BE3E683C}"/>
    <cellStyle name="Normal 4 3" xfId="369" xr:uid="{00000000-0005-0000-0000-000084020000}"/>
    <cellStyle name="Normal 4 3 10" xfId="2100" xr:uid="{B4E42AB2-265E-478B-8053-79A037EE8F2A}"/>
    <cellStyle name="Normal 4 3 11" xfId="1270" xr:uid="{47170BCB-7FAB-4E72-807D-46775646EBBE}"/>
    <cellStyle name="Normal 4 3 12" xfId="10636" xr:uid="{5B131ADF-B3C0-4B15-B2DF-E3D96E85149B}"/>
    <cellStyle name="Normal 4 3 2" xfId="370" xr:uid="{00000000-0005-0000-0000-000085020000}"/>
    <cellStyle name="Normal 4 3 2 2" xfId="371" xr:uid="{00000000-0005-0000-0000-000086020000}"/>
    <cellStyle name="Normal 4 3 2 2 2" xfId="372" xr:uid="{00000000-0005-0000-0000-000087020000}"/>
    <cellStyle name="Normal 4 3 2 2 2 10" xfId="2101" xr:uid="{13D09BE0-0E6B-48FD-BCDE-F650BAC9BA17}"/>
    <cellStyle name="Normal 4 3 2 2 2 11" xfId="1271" xr:uid="{91D2D469-ACAD-4CB2-BB87-3EA362B0AA75}"/>
    <cellStyle name="Normal 4 3 2 2 2 12" xfId="10637" xr:uid="{7D61B603-1E75-4FA1-B1F3-C090BB239EB7}"/>
    <cellStyle name="Normal 4 3 2 2 2 2" xfId="373" xr:uid="{00000000-0005-0000-0000-000088020000}"/>
    <cellStyle name="Normal 4 3 2 2 2 2 10" xfId="1272" xr:uid="{DE3825EB-BA45-42EE-AFD0-CEC23CC5A64B}"/>
    <cellStyle name="Normal 4 3 2 2 2 2 11" xfId="10638" xr:uid="{F4CE82D2-42D9-4718-8A81-F77223B04C65}"/>
    <cellStyle name="Normal 4 3 2 2 2 2 2" xfId="374" xr:uid="{00000000-0005-0000-0000-000089020000}"/>
    <cellStyle name="Normal 4 3 2 2 2 2 2 10" xfId="10639" xr:uid="{64871E4B-C183-44D8-B73C-C70B38EA9CF1}"/>
    <cellStyle name="Normal 4 3 2 2 2 2 2 2" xfId="854" xr:uid="{00000000-0005-0000-0000-00008A020000}"/>
    <cellStyle name="Normal 4 3 2 2 2 2 2 2 2" xfId="4747" xr:uid="{E29F359A-BDC3-463D-ACCD-D9D14ED84216}"/>
    <cellStyle name="Normal 4 3 2 2 2 2 2 2 2 2" xfId="8965" xr:uid="{17029F63-101F-4D5E-85D6-2FA1BB3F34A0}"/>
    <cellStyle name="Normal 4 3 2 2 2 2 2 2 3" xfId="6820" xr:uid="{8DDDAD94-314F-44D3-823D-034BE8A82BC1}"/>
    <cellStyle name="Normal 4 3 2 2 2 2 2 2 4" xfId="2518" xr:uid="{E2ADD17C-33DB-4075-B912-8BC4D8EDA51B}"/>
    <cellStyle name="Normal 4 3 2 2 2 2 2 2 5" xfId="1689" xr:uid="{DA19BBD9-F162-4AC4-868A-685FD5097164}"/>
    <cellStyle name="Normal 4 3 2 2 2 2 2 2 6" xfId="11055" xr:uid="{5C49C6CE-F67F-4BB0-BD59-91C5BF5D3540}"/>
    <cellStyle name="Normal 4 3 2 2 2 2 2 3" xfId="2931" xr:uid="{4310212F-22AD-401D-A051-603ADCB59B3D}"/>
    <cellStyle name="Normal 4 3 2 2 2 2 2 3 2" xfId="5160" xr:uid="{4E793303-2AB0-4FCF-8F57-DB8DEF49E4D1}"/>
    <cellStyle name="Normal 4 3 2 2 2 2 2 3 2 2" xfId="9378" xr:uid="{C4DEA091-E7DB-424B-A56D-E4374774ECE3}"/>
    <cellStyle name="Normal 4 3 2 2 2 2 2 3 3" xfId="7233" xr:uid="{A2F65A90-DA80-4DB7-AE31-D5FE4F6E3A1E}"/>
    <cellStyle name="Normal 4 3 2 2 2 2 2 4" xfId="3344" xr:uid="{9E1CA82F-4EBA-4AEB-AD0A-DB2A49D99159}"/>
    <cellStyle name="Normal 4 3 2 2 2 2 2 4 2" xfId="5573" xr:uid="{1B1BEEEF-3996-48D6-829A-9DF088848ACB}"/>
    <cellStyle name="Normal 4 3 2 2 2 2 2 4 2 2" xfId="9791" xr:uid="{EB2BF077-6E53-4439-8B86-E0C7D2269A87}"/>
    <cellStyle name="Normal 4 3 2 2 2 2 2 4 3" xfId="7646" xr:uid="{2FD54737-5303-42ED-8860-D94EEE435E0D}"/>
    <cellStyle name="Normal 4 3 2 2 2 2 2 5" xfId="3757" xr:uid="{729C684D-6071-4D5D-9354-ADC749DD2682}"/>
    <cellStyle name="Normal 4 3 2 2 2 2 2 5 2" xfId="5986" xr:uid="{0FA2C533-2EE0-410C-A5C0-F35EEF88974B}"/>
    <cellStyle name="Normal 4 3 2 2 2 2 2 5 2 2" xfId="10204" xr:uid="{F877348C-C4C1-4B59-AEC5-3595395DDD1E}"/>
    <cellStyle name="Normal 4 3 2 2 2 2 2 5 3" xfId="8059" xr:uid="{84755C5C-DE1B-495D-992B-C8F210D77CBD}"/>
    <cellStyle name="Normal 4 3 2 2 2 2 2 6" xfId="4193" xr:uid="{974EC131-E873-4611-B8E6-4418FF9346C4}"/>
    <cellStyle name="Normal 4 3 2 2 2 2 2 6 2" xfId="8472" xr:uid="{2588EE8E-FF91-48CB-95B2-5E2878C19EC6}"/>
    <cellStyle name="Normal 4 3 2 2 2 2 2 7" xfId="6407" xr:uid="{605F5A59-2C9D-4A2A-B976-0A9E6614AC99}"/>
    <cellStyle name="Normal 4 3 2 2 2 2 2 8" xfId="2103" xr:uid="{436B3887-0ABF-4019-8DF2-9A6FFD3522C7}"/>
    <cellStyle name="Normal 4 3 2 2 2 2 2 9" xfId="1273" xr:uid="{118FE204-C67E-48C6-8601-90841D7D8FF5}"/>
    <cellStyle name="Normal 4 3 2 2 2 2 3" xfId="853" xr:uid="{00000000-0005-0000-0000-00008B020000}"/>
    <cellStyle name="Normal 4 3 2 2 2 2 3 2" xfId="4746" xr:uid="{FBDC546A-A086-4390-B038-34BCE0A02844}"/>
    <cellStyle name="Normal 4 3 2 2 2 2 3 2 2" xfId="8964" xr:uid="{B1C8F862-833A-45B4-8EE0-34CCA62A1DA1}"/>
    <cellStyle name="Normal 4 3 2 2 2 2 3 3" xfId="6819" xr:uid="{317A70D4-87A7-40A2-B63D-C6AF6E5AE440}"/>
    <cellStyle name="Normal 4 3 2 2 2 2 3 4" xfId="2517" xr:uid="{ADBC9D6C-AC05-493F-8E9A-D87AE551BD99}"/>
    <cellStyle name="Normal 4 3 2 2 2 2 3 5" xfId="1688" xr:uid="{5BD22579-993D-4280-AEA5-B6EE093F7D6C}"/>
    <cellStyle name="Normal 4 3 2 2 2 2 3 6" xfId="11054" xr:uid="{85E1AA60-A285-410F-8961-3E4209B00960}"/>
    <cellStyle name="Normal 4 3 2 2 2 2 4" xfId="2930" xr:uid="{1A8F3DD5-BACB-4961-AC5F-392E1F139294}"/>
    <cellStyle name="Normal 4 3 2 2 2 2 4 2" xfId="5159" xr:uid="{FD979E5E-FD2C-45BD-A698-614C912F1876}"/>
    <cellStyle name="Normal 4 3 2 2 2 2 4 2 2" xfId="9377" xr:uid="{E49AE325-D13C-46D0-B58C-24B32A8CB47B}"/>
    <cellStyle name="Normal 4 3 2 2 2 2 4 3" xfId="7232" xr:uid="{DAD2D97E-1AD6-4131-9C4C-E196CAEF3599}"/>
    <cellStyle name="Normal 4 3 2 2 2 2 5" xfId="3343" xr:uid="{180353C7-64B4-4091-A8F8-A9B911D55E3B}"/>
    <cellStyle name="Normal 4 3 2 2 2 2 5 2" xfId="5572" xr:uid="{96F2B98A-7B55-44B4-AEF8-47D2D91BAD1A}"/>
    <cellStyle name="Normal 4 3 2 2 2 2 5 2 2" xfId="9790" xr:uid="{AE376FE9-084E-4284-B5DC-BCFC248770E1}"/>
    <cellStyle name="Normal 4 3 2 2 2 2 5 3" xfId="7645" xr:uid="{14FFFB59-460B-4B1F-93AD-DA10C29A9D31}"/>
    <cellStyle name="Normal 4 3 2 2 2 2 6" xfId="3756" xr:uid="{B95F34C9-0CF7-4133-92A9-BB14B29F72B1}"/>
    <cellStyle name="Normal 4 3 2 2 2 2 6 2" xfId="5985" xr:uid="{5DE0D111-58E1-483C-969B-EEDBD522C102}"/>
    <cellStyle name="Normal 4 3 2 2 2 2 6 2 2" xfId="10203" xr:uid="{594FD852-3EB8-4532-ADB0-E58BE433BAEE}"/>
    <cellStyle name="Normal 4 3 2 2 2 2 6 3" xfId="8058" xr:uid="{14AE2958-E5C7-4318-9512-0A6BA012CC84}"/>
    <cellStyle name="Normal 4 3 2 2 2 2 7" xfId="4192" xr:uid="{86DF2B99-4427-47C0-BC7C-0D381D07DB27}"/>
    <cellStyle name="Normal 4 3 2 2 2 2 7 2" xfId="8471" xr:uid="{0FD52AA3-EE3F-4465-B7B2-78E35292056E}"/>
    <cellStyle name="Normal 4 3 2 2 2 2 8" xfId="6406" xr:uid="{CF6DA1FB-9EC1-4CF2-8E04-9C83D6115380}"/>
    <cellStyle name="Normal 4 3 2 2 2 2 9" xfId="2102" xr:uid="{AE4368A3-9A5A-4EB7-A5C1-5EB73CF1A5F2}"/>
    <cellStyle name="Normal 4 3 2 2 2 3" xfId="375" xr:uid="{00000000-0005-0000-0000-00008C020000}"/>
    <cellStyle name="Normal 4 3 2 2 2 3 10" xfId="10640" xr:uid="{476853F3-9FDE-48D4-A5FA-BD55A4B92C27}"/>
    <cellStyle name="Normal 4 3 2 2 2 3 2" xfId="855" xr:uid="{00000000-0005-0000-0000-00008D020000}"/>
    <cellStyle name="Normal 4 3 2 2 2 3 2 2" xfId="4748" xr:uid="{966E5A55-F123-4CA6-86AD-FA3677FDA140}"/>
    <cellStyle name="Normal 4 3 2 2 2 3 2 2 2" xfId="8966" xr:uid="{615D6DE1-E3BB-4C1C-9E13-9B472716E18C}"/>
    <cellStyle name="Normal 4 3 2 2 2 3 2 3" xfId="6821" xr:uid="{99A1172F-2484-488D-AF4F-D29193A00B34}"/>
    <cellStyle name="Normal 4 3 2 2 2 3 2 4" xfId="2519" xr:uid="{A224F898-9196-4956-B278-B82BEDF614DF}"/>
    <cellStyle name="Normal 4 3 2 2 2 3 2 5" xfId="1690" xr:uid="{BC70CD1F-E7BC-4B3F-AD55-16EC4DEC8F6F}"/>
    <cellStyle name="Normal 4 3 2 2 2 3 2 6" xfId="11056" xr:uid="{24D6D9D8-3CF9-4FEB-B31B-C245E463BCC3}"/>
    <cellStyle name="Normal 4 3 2 2 2 3 3" xfId="2932" xr:uid="{698273B5-B02F-4132-A49D-A159AE75D95D}"/>
    <cellStyle name="Normal 4 3 2 2 2 3 3 2" xfId="5161" xr:uid="{018F53C0-C835-4F8D-AF4F-E4224EEAD46C}"/>
    <cellStyle name="Normal 4 3 2 2 2 3 3 2 2" xfId="9379" xr:uid="{5AC84DE0-8702-4FC5-841B-EB06DD247E3A}"/>
    <cellStyle name="Normal 4 3 2 2 2 3 3 3" xfId="7234" xr:uid="{1AAE1C93-0F72-4B4B-A613-7E22DE787C90}"/>
    <cellStyle name="Normal 4 3 2 2 2 3 4" xfId="3345" xr:uid="{02C68E86-5B71-4EFF-8D3E-8B4A373FFFAC}"/>
    <cellStyle name="Normal 4 3 2 2 2 3 4 2" xfId="5574" xr:uid="{0BD2B9F2-D6E8-4231-880E-86CC997D41C8}"/>
    <cellStyle name="Normal 4 3 2 2 2 3 4 2 2" xfId="9792" xr:uid="{CB83891D-FABD-45BC-BC6D-0E49D0D861E6}"/>
    <cellStyle name="Normal 4 3 2 2 2 3 4 3" xfId="7647" xr:uid="{D7CEEC6C-FE1A-4D9C-8590-AA56F6162C4F}"/>
    <cellStyle name="Normal 4 3 2 2 2 3 5" xfId="3758" xr:uid="{B27C7A83-8ED0-4407-98BE-F32232DFE542}"/>
    <cellStyle name="Normal 4 3 2 2 2 3 5 2" xfId="5987" xr:uid="{A73E727D-0423-4AC6-8A1E-519AC7A57AAE}"/>
    <cellStyle name="Normal 4 3 2 2 2 3 5 2 2" xfId="10205" xr:uid="{AE427D54-1B34-4236-9A0C-9CADDE5D4609}"/>
    <cellStyle name="Normal 4 3 2 2 2 3 5 3" xfId="8060" xr:uid="{A91FCBD3-95BD-4576-BB4E-5519B02A3A0E}"/>
    <cellStyle name="Normal 4 3 2 2 2 3 6" xfId="4194" xr:uid="{B4885825-A5F6-4A6E-84E6-6CC9AAFB539A}"/>
    <cellStyle name="Normal 4 3 2 2 2 3 6 2" xfId="8473" xr:uid="{4F1F2426-061C-474D-9D9A-64F9288B4FB4}"/>
    <cellStyle name="Normal 4 3 2 2 2 3 7" xfId="6408" xr:uid="{9E2ED3C7-8BBC-4744-AB95-8E3412777436}"/>
    <cellStyle name="Normal 4 3 2 2 2 3 8" xfId="2104" xr:uid="{DB297DAF-2925-44F9-A5AD-AB0EA3AA8334}"/>
    <cellStyle name="Normal 4 3 2 2 2 3 9" xfId="1274" xr:uid="{D9ED56DF-C50D-447B-B26F-E8D9C5268A09}"/>
    <cellStyle name="Normal 4 3 2 2 2 4" xfId="852" xr:uid="{00000000-0005-0000-0000-00008E020000}"/>
    <cellStyle name="Normal 4 3 2 2 2 4 2" xfId="4745" xr:uid="{CEFB0D34-1DCC-469A-A3EF-1F45EDD4D98B}"/>
    <cellStyle name="Normal 4 3 2 2 2 4 2 2" xfId="8963" xr:uid="{B57B39EB-1C71-4E6A-AAEB-8DA4CEA1E0C3}"/>
    <cellStyle name="Normal 4 3 2 2 2 4 3" xfId="6818" xr:uid="{58006297-1DBF-468E-9C17-F99A5454D674}"/>
    <cellStyle name="Normal 4 3 2 2 2 4 4" xfId="2516" xr:uid="{A5D0991A-BE8D-4551-A7DB-BDDC6D1EE4BA}"/>
    <cellStyle name="Normal 4 3 2 2 2 4 5" xfId="1687" xr:uid="{F5BC7494-B311-44BB-A9C3-D32930E9A895}"/>
    <cellStyle name="Normal 4 3 2 2 2 4 6" xfId="11053" xr:uid="{8B9E7E99-235F-4E09-A72B-FF61932A2224}"/>
    <cellStyle name="Normal 4 3 2 2 2 5" xfId="2929" xr:uid="{38494664-F12A-49BA-AB20-1DEA30E53802}"/>
    <cellStyle name="Normal 4 3 2 2 2 5 2" xfId="5158" xr:uid="{660852A4-822C-4BFD-B76B-0B107041B13D}"/>
    <cellStyle name="Normal 4 3 2 2 2 5 2 2" xfId="9376" xr:uid="{061DA4D9-697C-46CC-BC2C-D2FDD429210F}"/>
    <cellStyle name="Normal 4 3 2 2 2 5 3" xfId="7231" xr:uid="{CBE7E250-E025-4BE9-AF2C-7C7BBF5F9053}"/>
    <cellStyle name="Normal 4 3 2 2 2 6" xfId="3342" xr:uid="{9A429D25-AC25-4575-AD5B-02B29D75B324}"/>
    <cellStyle name="Normal 4 3 2 2 2 6 2" xfId="5571" xr:uid="{83EF8773-DC06-4C10-8EF1-0506A606B61F}"/>
    <cellStyle name="Normal 4 3 2 2 2 6 2 2" xfId="9789" xr:uid="{C6B68895-4210-4B39-AF0C-0773FACFA8AE}"/>
    <cellStyle name="Normal 4 3 2 2 2 6 3" xfId="7644" xr:uid="{C88D01B6-1884-48A9-A896-7E0DA96D6A9A}"/>
    <cellStyle name="Normal 4 3 2 2 2 7" xfId="3755" xr:uid="{13C0434C-D0A1-4A9D-B952-4CB440651D85}"/>
    <cellStyle name="Normal 4 3 2 2 2 7 2" xfId="5984" xr:uid="{E50C2505-8D24-4260-8295-DAF60897AC78}"/>
    <cellStyle name="Normal 4 3 2 2 2 7 2 2" xfId="10202" xr:uid="{1B024BFA-7C4D-4D30-9B61-4D153AB762EC}"/>
    <cellStyle name="Normal 4 3 2 2 2 7 3" xfId="8057" xr:uid="{9565C757-5768-41BE-A00E-5D87BC34E453}"/>
    <cellStyle name="Normal 4 3 2 2 2 8" xfId="4191" xr:uid="{D73F8592-824F-459F-9B25-93F6361E71DD}"/>
    <cellStyle name="Normal 4 3 2 2 2 8 2" xfId="8470" xr:uid="{8784CB83-BABA-4913-B7CE-03D08D6291BA}"/>
    <cellStyle name="Normal 4 3 2 2 2 9" xfId="6405" xr:uid="{2F8D353E-4C59-4AC9-98A0-8F56424F9A2C}"/>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10" xfId="2105" xr:uid="{16DB2814-0631-458B-A24E-B098F9B10B49}"/>
    <cellStyle name="Normal 4 3 3 11" xfId="1275" xr:uid="{ED957CD9-99FD-44A0-AC83-687E6E66C78A}"/>
    <cellStyle name="Normal 4 3 3 12" xfId="10641" xr:uid="{EBB37F6F-D0DC-4E10-A683-0BA6BF1C429D}"/>
    <cellStyle name="Normal 4 3 3 2" xfId="378" xr:uid="{00000000-0005-0000-0000-000093020000}"/>
    <cellStyle name="Normal 4 3 3 2 10" xfId="1276" xr:uid="{95EDEF62-E678-4C6E-A559-E8CA615D7008}"/>
    <cellStyle name="Normal 4 3 3 2 11" xfId="10642" xr:uid="{DBFF9A75-9056-4169-AC93-60796980E61E}"/>
    <cellStyle name="Normal 4 3 3 2 2" xfId="379" xr:uid="{00000000-0005-0000-0000-000094020000}"/>
    <cellStyle name="Normal 4 3 3 2 2 10" xfId="10643" xr:uid="{2BEAB68E-A5DC-4C78-A8D2-561A3FADF478}"/>
    <cellStyle name="Normal 4 3 3 2 2 2" xfId="859" xr:uid="{00000000-0005-0000-0000-000095020000}"/>
    <cellStyle name="Normal 4 3 3 2 2 2 2" xfId="4751" xr:uid="{66488E55-E9EB-42B3-A54A-73BEDB221211}"/>
    <cellStyle name="Normal 4 3 3 2 2 2 2 2" xfId="8969" xr:uid="{479B1AFB-2DF2-4A5D-8CF9-2C1ED2E220F5}"/>
    <cellStyle name="Normal 4 3 3 2 2 2 3" xfId="6824" xr:uid="{FA4C72D7-8006-4059-BD46-7EE8D768F164}"/>
    <cellStyle name="Normal 4 3 3 2 2 2 4" xfId="2522" xr:uid="{B831E4F0-10C8-45A2-A258-D25B0453A766}"/>
    <cellStyle name="Normal 4 3 3 2 2 2 5" xfId="1693" xr:uid="{B9A17AB4-4025-4316-B8D4-265DF1E6246C}"/>
    <cellStyle name="Normal 4 3 3 2 2 2 6" xfId="11059" xr:uid="{515C102E-1370-4285-BC71-151FBEFEAA81}"/>
    <cellStyle name="Normal 4 3 3 2 2 3" xfId="2935" xr:uid="{0FD0F376-43CD-4DB7-A5A4-B46B5664F9AD}"/>
    <cellStyle name="Normal 4 3 3 2 2 3 2" xfId="5164" xr:uid="{3494C323-B8FC-49B8-A47E-1AD603979DDD}"/>
    <cellStyle name="Normal 4 3 3 2 2 3 2 2" xfId="9382" xr:uid="{0DD61984-240D-4E07-B223-937673403F60}"/>
    <cellStyle name="Normal 4 3 3 2 2 3 3" xfId="7237" xr:uid="{FDFB6E57-6740-4C2A-8509-3B802B9D5C85}"/>
    <cellStyle name="Normal 4 3 3 2 2 4" xfId="3348" xr:uid="{0BA8CEE0-0545-406A-B0AA-61CAC7ACAA37}"/>
    <cellStyle name="Normal 4 3 3 2 2 4 2" xfId="5577" xr:uid="{1D85B151-7C15-419F-AFEE-C5C73ACE98A5}"/>
    <cellStyle name="Normal 4 3 3 2 2 4 2 2" xfId="9795" xr:uid="{8B648967-7921-4B0F-80F3-4CE382D0DA3D}"/>
    <cellStyle name="Normal 4 3 3 2 2 4 3" xfId="7650" xr:uid="{90B853F7-3365-415E-9BFA-143A4B442D9E}"/>
    <cellStyle name="Normal 4 3 3 2 2 5" xfId="3761" xr:uid="{C0111B71-E271-4B95-8862-1C1A145FB76B}"/>
    <cellStyle name="Normal 4 3 3 2 2 5 2" xfId="5990" xr:uid="{DE2C662A-E843-4BCD-9645-C1EBE20566A0}"/>
    <cellStyle name="Normal 4 3 3 2 2 5 2 2" xfId="10208" xr:uid="{9CE5B3F3-C5D8-42FB-ABA7-6FDCA2F9E93F}"/>
    <cellStyle name="Normal 4 3 3 2 2 5 3" xfId="8063" xr:uid="{C1E039DA-64EE-448F-B638-BE12D4E4F3D2}"/>
    <cellStyle name="Normal 4 3 3 2 2 6" xfId="4197" xr:uid="{BAE5BBE4-B231-44D4-B880-2CF1A8AA2C95}"/>
    <cellStyle name="Normal 4 3 3 2 2 6 2" xfId="8476" xr:uid="{89969011-A15F-40DE-AC16-22026F95D192}"/>
    <cellStyle name="Normal 4 3 3 2 2 7" xfId="6411" xr:uid="{0306CD1A-4DDA-429B-BB0D-8AAE05C7C629}"/>
    <cellStyle name="Normal 4 3 3 2 2 8" xfId="2107" xr:uid="{4005EF00-FFF5-4AF5-8E00-9D3D6CB4CB0E}"/>
    <cellStyle name="Normal 4 3 3 2 2 9" xfId="1277" xr:uid="{B8007EC0-58EE-4D37-9403-E29A9D3BD691}"/>
    <cellStyle name="Normal 4 3 3 2 3" xfId="858" xr:uid="{00000000-0005-0000-0000-000096020000}"/>
    <cellStyle name="Normal 4 3 3 2 3 2" xfId="4750" xr:uid="{BE16E7CC-7FC0-4D75-961D-B25AB41167BA}"/>
    <cellStyle name="Normal 4 3 3 2 3 2 2" xfId="8968" xr:uid="{E7DA909F-DECB-4EBB-BAFA-85F341931EC5}"/>
    <cellStyle name="Normal 4 3 3 2 3 3" xfId="6823" xr:uid="{A727E4BF-EBB2-4190-BE4B-7250BF7DDA35}"/>
    <cellStyle name="Normal 4 3 3 2 3 4" xfId="2521" xr:uid="{CEF0EED1-9B40-4F87-820C-8664D17F61C4}"/>
    <cellStyle name="Normal 4 3 3 2 3 5" xfId="1692" xr:uid="{59EEA82F-35BF-434E-8839-ED3FF178478D}"/>
    <cellStyle name="Normal 4 3 3 2 3 6" xfId="11058" xr:uid="{0050928E-F5D0-4D33-B0A1-A326E830C4BA}"/>
    <cellStyle name="Normal 4 3 3 2 4" xfId="2934" xr:uid="{58CE7BC7-719B-4883-A041-8B8945ED9CCC}"/>
    <cellStyle name="Normal 4 3 3 2 4 2" xfId="5163" xr:uid="{CE290A5B-312C-42E3-B3D0-A225FAC1BD0A}"/>
    <cellStyle name="Normal 4 3 3 2 4 2 2" xfId="9381" xr:uid="{B3E027BC-FD13-4385-9BC0-9FF9ED78E2F8}"/>
    <cellStyle name="Normal 4 3 3 2 4 3" xfId="7236" xr:uid="{4065EA71-5148-431C-A984-4397558FCE73}"/>
    <cellStyle name="Normal 4 3 3 2 5" xfId="3347" xr:uid="{31A53758-155A-497B-9D0B-C20AF44ABA72}"/>
    <cellStyle name="Normal 4 3 3 2 5 2" xfId="5576" xr:uid="{42240AB1-73AF-4136-AD10-D1BCEA427B87}"/>
    <cellStyle name="Normal 4 3 3 2 5 2 2" xfId="9794" xr:uid="{B65AD33B-E16D-4D28-8E4A-668D5233CE96}"/>
    <cellStyle name="Normal 4 3 3 2 5 3" xfId="7649" xr:uid="{BBADA379-26E8-4033-9151-A85D162FA874}"/>
    <cellStyle name="Normal 4 3 3 2 6" xfId="3760" xr:uid="{4ACAEC11-E783-4BCC-BE37-A9445015FFE5}"/>
    <cellStyle name="Normal 4 3 3 2 6 2" xfId="5989" xr:uid="{D84E1B4C-6A22-4ADD-B9CD-15BA158D469C}"/>
    <cellStyle name="Normal 4 3 3 2 6 2 2" xfId="10207" xr:uid="{29A6CB6C-7B94-4173-8F97-500BDC81A9A5}"/>
    <cellStyle name="Normal 4 3 3 2 6 3" xfId="8062" xr:uid="{9EFF8E89-67AA-40F4-981C-328F9FE514FC}"/>
    <cellStyle name="Normal 4 3 3 2 7" xfId="4196" xr:uid="{BC2CAA3F-83FE-4F5A-AC51-5012AD3FDEA9}"/>
    <cellStyle name="Normal 4 3 3 2 7 2" xfId="8475" xr:uid="{0BCAD232-D21C-4977-8BE4-7BFBCA471ED9}"/>
    <cellStyle name="Normal 4 3 3 2 8" xfId="6410" xr:uid="{EC4A37B3-B19D-41E5-BD1B-74CF1E2EC93D}"/>
    <cellStyle name="Normal 4 3 3 2 9" xfId="2106" xr:uid="{8C5CC98F-D4F4-448D-BDEC-37A2F2C11016}"/>
    <cellStyle name="Normal 4 3 3 3" xfId="380" xr:uid="{00000000-0005-0000-0000-000097020000}"/>
    <cellStyle name="Normal 4 3 3 3 10" xfId="10644" xr:uid="{23CE9083-5636-4564-B0BF-0571B93B311D}"/>
    <cellStyle name="Normal 4 3 3 3 2" xfId="860" xr:uid="{00000000-0005-0000-0000-000098020000}"/>
    <cellStyle name="Normal 4 3 3 3 2 2" xfId="4752" xr:uid="{D0B99530-C7A4-4633-BCCB-A4189C1DB4DB}"/>
    <cellStyle name="Normal 4 3 3 3 2 2 2" xfId="8970" xr:uid="{B3EE4889-7E76-4EEA-A515-A5BE72008D64}"/>
    <cellStyle name="Normal 4 3 3 3 2 3" xfId="6825" xr:uid="{3414FFB4-CD98-4CB4-9446-0EB9FD158C8B}"/>
    <cellStyle name="Normal 4 3 3 3 2 4" xfId="2523" xr:uid="{E88E3434-1546-4AC2-AFEF-BAED4BBA3176}"/>
    <cellStyle name="Normal 4 3 3 3 2 5" xfId="1694" xr:uid="{FCF2AB79-D3A6-447C-B92B-40343BFCD8A5}"/>
    <cellStyle name="Normal 4 3 3 3 2 6" xfId="11060" xr:uid="{A4B38BD1-C1BD-4973-B1D3-EECFE714C5FC}"/>
    <cellStyle name="Normal 4 3 3 3 3" xfId="2936" xr:uid="{CB1B8793-8CC9-4E09-A63A-51343362B55A}"/>
    <cellStyle name="Normal 4 3 3 3 3 2" xfId="5165" xr:uid="{15E775FE-2121-47FB-91D5-85263BE5ED25}"/>
    <cellStyle name="Normal 4 3 3 3 3 2 2" xfId="9383" xr:uid="{21CC9E07-B57C-4A68-A405-12DFF86A10A5}"/>
    <cellStyle name="Normal 4 3 3 3 3 3" xfId="7238" xr:uid="{FDA99C7E-73D0-4C75-AB50-24C1B1EE51D4}"/>
    <cellStyle name="Normal 4 3 3 3 4" xfId="3349" xr:uid="{A2104046-221B-4C1C-83CD-E6921A608477}"/>
    <cellStyle name="Normal 4 3 3 3 4 2" xfId="5578" xr:uid="{7A67358D-9D9E-4529-990E-BF05B9D0F063}"/>
    <cellStyle name="Normal 4 3 3 3 4 2 2" xfId="9796" xr:uid="{4C46001B-F4A9-4CB5-BFAB-E1930A4A162E}"/>
    <cellStyle name="Normal 4 3 3 3 4 3" xfId="7651" xr:uid="{AAC9F3D5-79C7-400F-8677-7BFF351A6025}"/>
    <cellStyle name="Normal 4 3 3 3 5" xfId="3762" xr:uid="{567AD458-C372-4B02-AF55-D6A203251DB2}"/>
    <cellStyle name="Normal 4 3 3 3 5 2" xfId="5991" xr:uid="{7A9615F9-770C-4A84-9FC1-C2C791A09F63}"/>
    <cellStyle name="Normal 4 3 3 3 5 2 2" xfId="10209" xr:uid="{82995952-8EE9-4D93-BDF3-C43CF1619724}"/>
    <cellStyle name="Normal 4 3 3 3 5 3" xfId="8064" xr:uid="{AC66BB65-FCB8-412A-8F86-086E12A420A0}"/>
    <cellStyle name="Normal 4 3 3 3 6" xfId="4198" xr:uid="{F260BE31-9C24-48D3-AC38-145B66250236}"/>
    <cellStyle name="Normal 4 3 3 3 6 2" xfId="8477" xr:uid="{0E11B3D0-7D62-437E-A8B3-41719497273B}"/>
    <cellStyle name="Normal 4 3 3 3 7" xfId="6412" xr:uid="{71D607AB-2B46-44CD-9D90-A785A3A8B328}"/>
    <cellStyle name="Normal 4 3 3 3 8" xfId="2108" xr:uid="{68CE8315-B1D3-4FB0-A923-557E898AC732}"/>
    <cellStyle name="Normal 4 3 3 3 9" xfId="1278" xr:uid="{0B3C43DE-F566-4881-9175-BF759AEB1145}"/>
    <cellStyle name="Normal 4 3 3 4" xfId="857" xr:uid="{00000000-0005-0000-0000-000099020000}"/>
    <cellStyle name="Normal 4 3 3 4 2" xfId="4749" xr:uid="{A5B0862D-BB1A-4902-AA72-3F3E97A63908}"/>
    <cellStyle name="Normal 4 3 3 4 2 2" xfId="8967" xr:uid="{663628B4-2849-4C13-8FFC-19B74612FD3A}"/>
    <cellStyle name="Normal 4 3 3 4 3" xfId="6822" xr:uid="{8F0ABEAD-3477-46B8-A624-7D1942EEAD63}"/>
    <cellStyle name="Normal 4 3 3 4 4" xfId="2520" xr:uid="{F7300692-84F3-4C41-8E06-611875A0133B}"/>
    <cellStyle name="Normal 4 3 3 4 5" xfId="1691" xr:uid="{A4864940-E2AC-4CF1-A72A-181023ACFFFA}"/>
    <cellStyle name="Normal 4 3 3 4 6" xfId="11057" xr:uid="{96030806-EA86-443F-BE2A-885083B386DE}"/>
    <cellStyle name="Normal 4 3 3 5" xfId="2933" xr:uid="{AF88CFC2-E6E1-4D19-9CAA-B58D16C0A814}"/>
    <cellStyle name="Normal 4 3 3 5 2" xfId="5162" xr:uid="{0C5289C7-A82E-49EA-A321-B621FC8AFBE3}"/>
    <cellStyle name="Normal 4 3 3 5 2 2" xfId="9380" xr:uid="{38F971D0-DAF8-45B9-8381-6E44887130B1}"/>
    <cellStyle name="Normal 4 3 3 5 3" xfId="7235" xr:uid="{CAE2726C-C3BD-4209-B14E-112F899DBD53}"/>
    <cellStyle name="Normal 4 3 3 6" xfId="3346" xr:uid="{5D55D625-1497-4870-9CF1-9BE4A8F45BB7}"/>
    <cellStyle name="Normal 4 3 3 6 2" xfId="5575" xr:uid="{08EA5D0D-20DF-4CAC-9673-13B468007D94}"/>
    <cellStyle name="Normal 4 3 3 6 2 2" xfId="9793" xr:uid="{70C8A691-E096-47F5-893F-3FE04000DB5A}"/>
    <cellStyle name="Normal 4 3 3 6 3" xfId="7648" xr:uid="{427FCDB9-D5E4-466C-B312-E69A34161986}"/>
    <cellStyle name="Normal 4 3 3 7" xfId="3759" xr:uid="{B6D90BEB-66AB-4123-9A64-68578ECDB34C}"/>
    <cellStyle name="Normal 4 3 3 7 2" xfId="5988" xr:uid="{FA8B755C-61F0-46CD-81D1-6BCF4EF8BB7C}"/>
    <cellStyle name="Normal 4 3 3 7 2 2" xfId="10206" xr:uid="{852CC5B5-8C93-491C-8C66-10E7BC637F3B}"/>
    <cellStyle name="Normal 4 3 3 7 3" xfId="8061" xr:uid="{72A008E4-FD64-4052-A0D4-FC693CC55F7B}"/>
    <cellStyle name="Normal 4 3 3 8" xfId="4195" xr:uid="{ABEF3F02-745D-4458-96CF-9A1E80569FE3}"/>
    <cellStyle name="Normal 4 3 3 8 2" xfId="8474" xr:uid="{CCE2ECA8-0E65-4A28-9DC2-11DF07E11E08}"/>
    <cellStyle name="Normal 4 3 3 9" xfId="6409" xr:uid="{A2FF3A62-D8EA-416A-B5B4-7B629B427FE6}"/>
    <cellStyle name="Normal 4 3 4" xfId="850" xr:uid="{00000000-0005-0000-0000-00009A020000}"/>
    <cellStyle name="Normal 4 3 4 2" xfId="4744" xr:uid="{83CD5992-941B-4F00-B6BC-8032CDD5ACBC}"/>
    <cellStyle name="Normal 4 3 4 2 2" xfId="8962" xr:uid="{16686BAC-5827-4C74-B325-200C0984D495}"/>
    <cellStyle name="Normal 4 3 4 3" xfId="6817" xr:uid="{8806AC7A-372B-40E9-96E6-7FDA95CF0552}"/>
    <cellStyle name="Normal 4 3 4 4" xfId="2515" xr:uid="{88E87013-B1A0-42F7-A8C1-E07A7692957C}"/>
    <cellStyle name="Normal 4 3 4 5" xfId="1686" xr:uid="{091AFB9F-DCE9-4F25-BCDA-2A0F12712593}"/>
    <cellStyle name="Normal 4 3 4 6" xfId="11052" xr:uid="{58C2B9B2-C8B5-49DC-85CC-5DCE3ED582D5}"/>
    <cellStyle name="Normal 4 3 5" xfId="2928" xr:uid="{C86CFF04-4436-44DB-94B3-22EF0E7306AB}"/>
    <cellStyle name="Normal 4 3 5 2" xfId="5157" xr:uid="{517CC2A7-A767-44EA-AB3C-DE1DAD9E6C78}"/>
    <cellStyle name="Normal 4 3 5 2 2" xfId="9375" xr:uid="{69B04974-0663-4E71-A0D4-7100B65D335C}"/>
    <cellStyle name="Normal 4 3 5 3" xfId="7230" xr:uid="{7F01C6ED-14BC-4207-AD34-2BA4EAFDFE53}"/>
    <cellStyle name="Normal 4 3 6" xfId="3341" xr:uid="{6D14B244-5EEE-491D-A45C-6D78DFC4E603}"/>
    <cellStyle name="Normal 4 3 6 2" xfId="5570" xr:uid="{0B464097-8090-48C5-B6DD-EB59B73C66DB}"/>
    <cellStyle name="Normal 4 3 6 2 2" xfId="9788" xr:uid="{C5FD996A-3CC6-4632-9CAB-75683EE25409}"/>
    <cellStyle name="Normal 4 3 6 3" xfId="7643" xr:uid="{11BDDC6F-174D-4799-BD97-DCE56A9AD129}"/>
    <cellStyle name="Normal 4 3 7" xfId="3754" xr:uid="{4D9DC57E-877C-42AA-9EF3-223215EE3505}"/>
    <cellStyle name="Normal 4 3 7 2" xfId="5983" xr:uid="{DEA8ACFD-40F7-4A90-9984-4DDE9EE1AAB1}"/>
    <cellStyle name="Normal 4 3 7 2 2" xfId="10201" xr:uid="{46B5F1DC-9551-46A6-91DB-303F1A289808}"/>
    <cellStyle name="Normal 4 3 7 3" xfId="8056" xr:uid="{719A4170-BC75-4C80-9D95-8A1528A64D18}"/>
    <cellStyle name="Normal 4 3 8" xfId="4190" xr:uid="{FF523441-EACC-4C03-9612-E59D1B58F4D7}"/>
    <cellStyle name="Normal 4 3 8 2" xfId="8469" xr:uid="{81A114F7-0546-4E20-87FC-A512A1F3EE89}"/>
    <cellStyle name="Normal 4 3 9" xfId="6404" xr:uid="{8E6B2D3A-8A42-4709-8B93-56493D2DF0DA}"/>
    <cellStyle name="Normal 4 4" xfId="381" xr:uid="{00000000-0005-0000-0000-00009B020000}"/>
    <cellStyle name="Normal 4 4 10" xfId="4199" xr:uid="{44261E8C-9F5F-476E-81CA-FEDD2A35437E}"/>
    <cellStyle name="Normal 4 4 10 2" xfId="8478" xr:uid="{92063A3C-B5E1-4B57-9111-37042A243905}"/>
    <cellStyle name="Normal 4 4 11" xfId="6413" xr:uid="{BAD9D5BA-5239-4E46-9281-FA32E4C4E4C3}"/>
    <cellStyle name="Normal 4 4 12" xfId="2109" xr:uid="{272E59C0-F902-4F7A-8C91-2D3E4AA2606C}"/>
    <cellStyle name="Normal 4 4 13" xfId="1279" xr:uid="{9B4D30EF-5A13-45FC-A379-7D45E3DC7195}"/>
    <cellStyle name="Normal 4 4 14" xfId="10645" xr:uid="{4137CEF1-51B9-4238-BBD6-95E290734591}"/>
    <cellStyle name="Normal 4 4 2" xfId="382" xr:uid="{00000000-0005-0000-0000-00009C020000}"/>
    <cellStyle name="Normal 4 4 2 10" xfId="6414" xr:uid="{D72716E4-AF7A-4C54-93C8-B5A7EB0FE4F2}"/>
    <cellStyle name="Normal 4 4 2 11" xfId="2110" xr:uid="{D4C4A1EF-6FCE-456D-8A13-EE4A2217F3E6}"/>
    <cellStyle name="Normal 4 4 2 12" xfId="1280" xr:uid="{A3043D8A-1640-4601-8502-AE602D4EB87C}"/>
    <cellStyle name="Normal 4 4 2 13" xfId="10646" xr:uid="{F43BE8BB-3D6C-4A66-B932-2A3C6B2185ED}"/>
    <cellStyle name="Normal 4 4 2 2" xfId="383" xr:uid="{00000000-0005-0000-0000-00009D020000}"/>
    <cellStyle name="Normal 4 4 2 2 10" xfId="2111" xr:uid="{EC24ADE0-3837-45C9-B3B3-D9BD1473F0FC}"/>
    <cellStyle name="Normal 4 4 2 2 11" xfId="1281" xr:uid="{89E733CF-B36F-441F-9C6B-1DFE981EF866}"/>
    <cellStyle name="Normal 4 4 2 2 12" xfId="10647" xr:uid="{142B4515-8D04-45D0-9A66-B8DBE078BB56}"/>
    <cellStyle name="Normal 4 4 2 2 2" xfId="384" xr:uid="{00000000-0005-0000-0000-00009E020000}"/>
    <cellStyle name="Normal 4 4 2 2 2 10" xfId="1282" xr:uid="{0C92CCFB-A67E-4170-ACDF-D5B3C8DEAA28}"/>
    <cellStyle name="Normal 4 4 2 2 2 11" xfId="10648" xr:uid="{2AF37A42-B628-441F-B826-B7F6AC9F3E85}"/>
    <cellStyle name="Normal 4 4 2 2 2 2" xfId="385" xr:uid="{00000000-0005-0000-0000-00009F020000}"/>
    <cellStyle name="Normal 4 4 2 2 2 2 10" xfId="10649" xr:uid="{887D3DC1-9348-4732-B9C4-10BEDBB479AE}"/>
    <cellStyle name="Normal 4 4 2 2 2 2 2" xfId="865" xr:uid="{00000000-0005-0000-0000-0000A0020000}"/>
    <cellStyle name="Normal 4 4 2 2 2 2 2 2" xfId="4757" xr:uid="{08D142B3-A9C7-470F-A6F9-ACA6A87681E7}"/>
    <cellStyle name="Normal 4 4 2 2 2 2 2 2 2" xfId="8975" xr:uid="{95195C1C-C401-4F9C-9CDF-548F1AED6671}"/>
    <cellStyle name="Normal 4 4 2 2 2 2 2 3" xfId="6830" xr:uid="{CA2E3C1B-51F7-44D2-9B7D-4447AD7A18CA}"/>
    <cellStyle name="Normal 4 4 2 2 2 2 2 4" xfId="2528" xr:uid="{773AD9F6-A858-4E8C-908A-EABEEB6476F5}"/>
    <cellStyle name="Normal 4 4 2 2 2 2 2 5" xfId="1699" xr:uid="{6ACB7115-EEB1-47D9-8B67-2C6FDF962DBD}"/>
    <cellStyle name="Normal 4 4 2 2 2 2 2 6" xfId="11065" xr:uid="{8C311468-0E15-43CA-A952-95DB28F92605}"/>
    <cellStyle name="Normal 4 4 2 2 2 2 3" xfId="2941" xr:uid="{A6F8CD0F-9013-4674-BABF-6A4E60F7C5A9}"/>
    <cellStyle name="Normal 4 4 2 2 2 2 3 2" xfId="5170" xr:uid="{81F43292-2ED0-4B0A-9C11-99D532B8A185}"/>
    <cellStyle name="Normal 4 4 2 2 2 2 3 2 2" xfId="9388" xr:uid="{A17A0224-67A3-41DF-96FF-CEFB1040F4C2}"/>
    <cellStyle name="Normal 4 4 2 2 2 2 3 3" xfId="7243" xr:uid="{34A2358B-13C7-4E6F-8C28-131FC1545F6F}"/>
    <cellStyle name="Normal 4 4 2 2 2 2 4" xfId="3354" xr:uid="{6987E6A5-EEAE-4D5D-AAB4-8B6B493B660F}"/>
    <cellStyle name="Normal 4 4 2 2 2 2 4 2" xfId="5583" xr:uid="{2D749867-1D0E-4D57-B394-17679055517F}"/>
    <cellStyle name="Normal 4 4 2 2 2 2 4 2 2" xfId="9801" xr:uid="{D2040D80-E171-45F3-9FF7-F57615862006}"/>
    <cellStyle name="Normal 4 4 2 2 2 2 4 3" xfId="7656" xr:uid="{67F77590-A945-4B5F-B049-2AD2ABFD8106}"/>
    <cellStyle name="Normal 4 4 2 2 2 2 5" xfId="3767" xr:uid="{69F07F78-C575-49B6-9851-7ED4F12D0D90}"/>
    <cellStyle name="Normal 4 4 2 2 2 2 5 2" xfId="5996" xr:uid="{1E3633C2-B6E8-4039-9C73-E46ED4D2C5F2}"/>
    <cellStyle name="Normal 4 4 2 2 2 2 5 2 2" xfId="10214" xr:uid="{25D1B557-5E35-4D14-97EF-796C6CCDC692}"/>
    <cellStyle name="Normal 4 4 2 2 2 2 5 3" xfId="8069" xr:uid="{E793D014-9899-454A-9137-5888268AE24D}"/>
    <cellStyle name="Normal 4 4 2 2 2 2 6" xfId="4203" xr:uid="{253A4AC7-2330-49BE-95C2-7A5CC1C0F0E5}"/>
    <cellStyle name="Normal 4 4 2 2 2 2 6 2" xfId="8482" xr:uid="{6AFE52CE-BE35-4B89-87E1-43C549BF897C}"/>
    <cellStyle name="Normal 4 4 2 2 2 2 7" xfId="6417" xr:uid="{4640C299-1708-446D-85B0-014D7C53FA4C}"/>
    <cellStyle name="Normal 4 4 2 2 2 2 8" xfId="2113" xr:uid="{0166652C-B25D-4701-937E-4BF76A18921A}"/>
    <cellStyle name="Normal 4 4 2 2 2 2 9" xfId="1283" xr:uid="{46AF0006-FA3B-470B-936C-1DF1E8E19084}"/>
    <cellStyle name="Normal 4 4 2 2 2 3" xfId="864" xr:uid="{00000000-0005-0000-0000-0000A1020000}"/>
    <cellStyle name="Normal 4 4 2 2 2 3 2" xfId="4756" xr:uid="{A1CE4620-7B31-49C8-A939-F7389EA34B0E}"/>
    <cellStyle name="Normal 4 4 2 2 2 3 2 2" xfId="8974" xr:uid="{2CD6E58B-1277-4B01-BD3C-5519D29E87C8}"/>
    <cellStyle name="Normal 4 4 2 2 2 3 3" xfId="6829" xr:uid="{F91D5750-C7B7-4D4E-A8E5-05158AE3441B}"/>
    <cellStyle name="Normal 4 4 2 2 2 3 4" xfId="2527" xr:uid="{71C0B531-4A28-462A-9A7F-D4C946F4CA03}"/>
    <cellStyle name="Normal 4 4 2 2 2 3 5" xfId="1698" xr:uid="{9A1B1ED0-595D-449A-8328-259101726F31}"/>
    <cellStyle name="Normal 4 4 2 2 2 3 6" xfId="11064" xr:uid="{642ACA10-D163-43F5-85D5-10A8D9C4654A}"/>
    <cellStyle name="Normal 4 4 2 2 2 4" xfId="2940" xr:uid="{68F8C927-45B4-4BB2-917F-C654ED906E2C}"/>
    <cellStyle name="Normal 4 4 2 2 2 4 2" xfId="5169" xr:uid="{44A5552C-1476-45D6-9A88-70ADE654D596}"/>
    <cellStyle name="Normal 4 4 2 2 2 4 2 2" xfId="9387" xr:uid="{7CF6324F-10F2-4EC4-9419-DDC39DA153C0}"/>
    <cellStyle name="Normal 4 4 2 2 2 4 3" xfId="7242" xr:uid="{4796E5F0-7A00-4D9B-99AA-1506317E1C98}"/>
    <cellStyle name="Normal 4 4 2 2 2 5" xfId="3353" xr:uid="{BEE76629-8D39-428C-BD3C-E68C49335274}"/>
    <cellStyle name="Normal 4 4 2 2 2 5 2" xfId="5582" xr:uid="{8576BF59-F780-4799-A95B-359D0C396E4F}"/>
    <cellStyle name="Normal 4 4 2 2 2 5 2 2" xfId="9800" xr:uid="{DE2667F4-29EF-4609-A414-0EB5B5AE2CF7}"/>
    <cellStyle name="Normal 4 4 2 2 2 5 3" xfId="7655" xr:uid="{9B8D9D3D-A363-4D2E-8375-F92522962F6E}"/>
    <cellStyle name="Normal 4 4 2 2 2 6" xfId="3766" xr:uid="{5D6A9F52-6981-4EAC-9132-27F4EE53FC8B}"/>
    <cellStyle name="Normal 4 4 2 2 2 6 2" xfId="5995" xr:uid="{927D18BA-F72B-4E6A-8919-17C3E6209085}"/>
    <cellStyle name="Normal 4 4 2 2 2 6 2 2" xfId="10213" xr:uid="{1B39D2A6-4F32-44D0-AB71-2D140DB845CD}"/>
    <cellStyle name="Normal 4 4 2 2 2 6 3" xfId="8068" xr:uid="{569D1B47-FC25-4718-911C-4B9CC899DB37}"/>
    <cellStyle name="Normal 4 4 2 2 2 7" xfId="4202" xr:uid="{2447D258-AD01-449E-A6A3-D0BCFE82E0D5}"/>
    <cellStyle name="Normal 4 4 2 2 2 7 2" xfId="8481" xr:uid="{A8653279-E15F-48D1-8C7D-D75A9D76C4EF}"/>
    <cellStyle name="Normal 4 4 2 2 2 8" xfId="6416" xr:uid="{0611ED9B-FB5E-4337-A78A-F9A7613D14D3}"/>
    <cellStyle name="Normal 4 4 2 2 2 9" xfId="2112" xr:uid="{3A86380C-D78E-483E-A555-EE9594A0667F}"/>
    <cellStyle name="Normal 4 4 2 2 3" xfId="386" xr:uid="{00000000-0005-0000-0000-0000A2020000}"/>
    <cellStyle name="Normal 4 4 2 2 3 10" xfId="10650" xr:uid="{4582E5D4-866C-41BF-8A1B-B2F575CAD033}"/>
    <cellStyle name="Normal 4 4 2 2 3 2" xfId="866" xr:uid="{00000000-0005-0000-0000-0000A3020000}"/>
    <cellStyle name="Normal 4 4 2 2 3 2 2" xfId="4758" xr:uid="{8E943C4E-AC92-4385-8912-301357012563}"/>
    <cellStyle name="Normal 4 4 2 2 3 2 2 2" xfId="8976" xr:uid="{84D2402F-CD3C-4A04-9596-D81CFA6811E1}"/>
    <cellStyle name="Normal 4 4 2 2 3 2 3" xfId="6831" xr:uid="{194FE6B6-7C49-4C90-8C1A-9102DEDC829F}"/>
    <cellStyle name="Normal 4 4 2 2 3 2 4" xfId="2529" xr:uid="{56DC9511-D40E-4287-AD94-7A857F66CC07}"/>
    <cellStyle name="Normal 4 4 2 2 3 2 5" xfId="1700" xr:uid="{5D921B40-B72A-4D79-A3B7-9030173C01D7}"/>
    <cellStyle name="Normal 4 4 2 2 3 2 6" xfId="11066" xr:uid="{D3D8BBAD-1EA6-4223-B38B-AABC52D9A62D}"/>
    <cellStyle name="Normal 4 4 2 2 3 3" xfId="2942" xr:uid="{6BA2A3F0-4CC8-46C8-9F5C-5E7271DAC0DB}"/>
    <cellStyle name="Normal 4 4 2 2 3 3 2" xfId="5171" xr:uid="{CA58B75C-3BE3-4154-9566-951212E2D53A}"/>
    <cellStyle name="Normal 4 4 2 2 3 3 2 2" xfId="9389" xr:uid="{702F1D17-7696-490E-839F-3DC72F7AD866}"/>
    <cellStyle name="Normal 4 4 2 2 3 3 3" xfId="7244" xr:uid="{5601DCD7-AE3F-4DDC-9A2E-E5D5D66338A4}"/>
    <cellStyle name="Normal 4 4 2 2 3 4" xfId="3355" xr:uid="{AF22EF6B-6528-496A-A4B0-4AB5DE21765B}"/>
    <cellStyle name="Normal 4 4 2 2 3 4 2" xfId="5584" xr:uid="{00EF781E-0F5C-4313-9779-A979E44E01C5}"/>
    <cellStyle name="Normal 4 4 2 2 3 4 2 2" xfId="9802" xr:uid="{64F50809-31FA-4EF2-9CF7-A4202A3C680A}"/>
    <cellStyle name="Normal 4 4 2 2 3 4 3" xfId="7657" xr:uid="{06B0D550-99D2-40DE-A8F5-5BCE33CD6084}"/>
    <cellStyle name="Normal 4 4 2 2 3 5" xfId="3768" xr:uid="{C07223BE-E014-413A-92EF-E627AC3A3957}"/>
    <cellStyle name="Normal 4 4 2 2 3 5 2" xfId="5997" xr:uid="{8BD2DDEF-4A12-4A39-A477-99695CB02649}"/>
    <cellStyle name="Normal 4 4 2 2 3 5 2 2" xfId="10215" xr:uid="{3ACE7544-8D63-4A44-8FEA-CEE947D19AAC}"/>
    <cellStyle name="Normal 4 4 2 2 3 5 3" xfId="8070" xr:uid="{E3169F72-4AFF-4F24-9FEE-C11B528EF114}"/>
    <cellStyle name="Normal 4 4 2 2 3 6" xfId="4204" xr:uid="{315C7890-16F6-44DE-B80B-77EE4938AC65}"/>
    <cellStyle name="Normal 4 4 2 2 3 6 2" xfId="8483" xr:uid="{816F6CB5-BB9D-4046-A6E6-3319EB1F5700}"/>
    <cellStyle name="Normal 4 4 2 2 3 7" xfId="6418" xr:uid="{8EF9AAB7-1922-4B68-AA1F-1C9C588AE984}"/>
    <cellStyle name="Normal 4 4 2 2 3 8" xfId="2114" xr:uid="{704AFE6F-4D42-4DB9-93FB-C00B370087B3}"/>
    <cellStyle name="Normal 4 4 2 2 3 9" xfId="1284" xr:uid="{270F60AD-F91E-459F-A4E1-204CFFE3EEF1}"/>
    <cellStyle name="Normal 4 4 2 2 4" xfId="863" xr:uid="{00000000-0005-0000-0000-0000A4020000}"/>
    <cellStyle name="Normal 4 4 2 2 4 2" xfId="4755" xr:uid="{5C640694-06D0-43FC-BEA5-64588FDBFCAF}"/>
    <cellStyle name="Normal 4 4 2 2 4 2 2" xfId="8973" xr:uid="{0B6D1DEA-9459-4C98-9F5F-11F827763A04}"/>
    <cellStyle name="Normal 4 4 2 2 4 3" xfId="6828" xr:uid="{550D9139-B8F0-4A7B-9F35-480EAC5E4194}"/>
    <cellStyle name="Normal 4 4 2 2 4 4" xfId="2526" xr:uid="{0DED90B6-AE03-4E13-82A6-8542454CFF95}"/>
    <cellStyle name="Normal 4 4 2 2 4 5" xfId="1697" xr:uid="{BB3B09C1-1AA5-4C31-80EA-846D132A2D98}"/>
    <cellStyle name="Normal 4 4 2 2 4 6" xfId="11063" xr:uid="{7BA08092-71A8-4B21-84D8-FB9A82BA38B9}"/>
    <cellStyle name="Normal 4 4 2 2 5" xfId="2939" xr:uid="{9CC17C86-984A-4B33-A95B-3F22CB16A08D}"/>
    <cellStyle name="Normal 4 4 2 2 5 2" xfId="5168" xr:uid="{4207C18F-B712-469E-906E-04E024A7E3A2}"/>
    <cellStyle name="Normal 4 4 2 2 5 2 2" xfId="9386" xr:uid="{2B6D4E2F-1D81-4ED8-909F-7E0855B49156}"/>
    <cellStyle name="Normal 4 4 2 2 5 3" xfId="7241" xr:uid="{C2F15C08-FA4F-41AE-B97A-0A2F69945496}"/>
    <cellStyle name="Normal 4 4 2 2 6" xfId="3352" xr:uid="{FE27EBD4-EF2F-43CF-A936-86F0820F93B1}"/>
    <cellStyle name="Normal 4 4 2 2 6 2" xfId="5581" xr:uid="{DF30AA17-1EA2-446A-B616-5DAAC7D62509}"/>
    <cellStyle name="Normal 4 4 2 2 6 2 2" xfId="9799" xr:uid="{7A803744-B621-4EF9-8230-DF23C7F6C8CF}"/>
    <cellStyle name="Normal 4 4 2 2 6 3" xfId="7654" xr:uid="{BF173B2C-EC42-41AF-BD33-791CA18D1883}"/>
    <cellStyle name="Normal 4 4 2 2 7" xfId="3765" xr:uid="{D8AA0C05-4111-4F05-A1F4-5AD584C5C7FB}"/>
    <cellStyle name="Normal 4 4 2 2 7 2" xfId="5994" xr:uid="{16436BE6-DEFC-48E5-98E6-73C30CEEA087}"/>
    <cellStyle name="Normal 4 4 2 2 7 2 2" xfId="10212" xr:uid="{D849FD2F-A9F4-44C0-9057-E60BEA2ABFBB}"/>
    <cellStyle name="Normal 4 4 2 2 7 3" xfId="8067" xr:uid="{CAF6DE29-C7B1-4706-A749-8E39C0783211}"/>
    <cellStyle name="Normal 4 4 2 2 8" xfId="4201" xr:uid="{7B0DB612-08BB-48E7-93A1-763B0D05F5E5}"/>
    <cellStyle name="Normal 4 4 2 2 8 2" xfId="8480" xr:uid="{6CBB6B07-06C8-4E47-B8B1-C52E1BF12870}"/>
    <cellStyle name="Normal 4 4 2 2 9" xfId="6415" xr:uid="{028BBF1B-5BEE-4CAA-AE2D-9124688ECEE2}"/>
    <cellStyle name="Normal 4 4 2 3" xfId="387" xr:uid="{00000000-0005-0000-0000-0000A5020000}"/>
    <cellStyle name="Normal 4 4 2 3 10" xfId="1285" xr:uid="{4B090924-D328-41A1-A886-22E607C91FEE}"/>
    <cellStyle name="Normal 4 4 2 3 11" xfId="10651" xr:uid="{5CDC6CCE-A4DE-4CA9-BC18-77A3A2E27CBF}"/>
    <cellStyle name="Normal 4 4 2 3 2" xfId="388" xr:uid="{00000000-0005-0000-0000-0000A6020000}"/>
    <cellStyle name="Normal 4 4 2 3 2 10" xfId="10652" xr:uid="{1A4091BC-BF59-4B30-8C30-91748611047A}"/>
    <cellStyle name="Normal 4 4 2 3 2 2" xfId="868" xr:uid="{00000000-0005-0000-0000-0000A7020000}"/>
    <cellStyle name="Normal 4 4 2 3 2 2 2" xfId="4760" xr:uid="{00A99E12-DA73-4DCE-8DB2-6DF5E77E8AD7}"/>
    <cellStyle name="Normal 4 4 2 3 2 2 2 2" xfId="8978" xr:uid="{2F08D143-9CDE-44BD-9F62-BCE4A75ABB04}"/>
    <cellStyle name="Normal 4 4 2 3 2 2 3" xfId="6833" xr:uid="{B5968877-2739-42BA-98B0-63BB07EB7EE3}"/>
    <cellStyle name="Normal 4 4 2 3 2 2 4" xfId="2531" xr:uid="{851E31FC-4AE3-4A24-A7D2-14D33C75233B}"/>
    <cellStyle name="Normal 4 4 2 3 2 2 5" xfId="1702" xr:uid="{EC495CAE-B5F3-41A0-B555-105E856D506A}"/>
    <cellStyle name="Normal 4 4 2 3 2 2 6" xfId="11068" xr:uid="{D610381B-5F15-4AE0-9907-7605AF5C2DAB}"/>
    <cellStyle name="Normal 4 4 2 3 2 3" xfId="2944" xr:uid="{E32F72D4-13DD-4DE8-997D-D4D862B52B9B}"/>
    <cellStyle name="Normal 4 4 2 3 2 3 2" xfId="5173" xr:uid="{344AC09B-8009-4C76-B334-68493B930712}"/>
    <cellStyle name="Normal 4 4 2 3 2 3 2 2" xfId="9391" xr:uid="{3951889C-203C-4CF6-816F-047A1585E5AA}"/>
    <cellStyle name="Normal 4 4 2 3 2 3 3" xfId="7246" xr:uid="{927728D3-A07E-47F4-9EEB-44EF771457C5}"/>
    <cellStyle name="Normal 4 4 2 3 2 4" xfId="3357" xr:uid="{8620BB6D-CB9A-4609-9D05-ADEC9E377AFB}"/>
    <cellStyle name="Normal 4 4 2 3 2 4 2" xfId="5586" xr:uid="{3465DA3F-1F13-4520-AC8C-9964BC213F37}"/>
    <cellStyle name="Normal 4 4 2 3 2 4 2 2" xfId="9804" xr:uid="{8E7239EE-0B86-46FB-8F98-E4EADA9FBC16}"/>
    <cellStyle name="Normal 4 4 2 3 2 4 3" xfId="7659" xr:uid="{39F30AF4-A980-441D-8056-7C9C83CE4A34}"/>
    <cellStyle name="Normal 4 4 2 3 2 5" xfId="3770" xr:uid="{72856ADC-7BF6-43A1-8ACC-5709D58E081F}"/>
    <cellStyle name="Normal 4 4 2 3 2 5 2" xfId="5999" xr:uid="{BC738E51-2883-435C-AFBB-0607F03D4771}"/>
    <cellStyle name="Normal 4 4 2 3 2 5 2 2" xfId="10217" xr:uid="{1C7A949A-DD91-4BA2-9980-A369DC0D0C95}"/>
    <cellStyle name="Normal 4 4 2 3 2 5 3" xfId="8072" xr:uid="{FCB47632-174F-40AF-B7E4-548D9380505C}"/>
    <cellStyle name="Normal 4 4 2 3 2 6" xfId="4206" xr:uid="{9CCBED39-314B-4D28-8A88-4FA51E328FB7}"/>
    <cellStyle name="Normal 4 4 2 3 2 6 2" xfId="8485" xr:uid="{1F1DB2D7-74D2-4487-BC24-722CD9B8CEB8}"/>
    <cellStyle name="Normal 4 4 2 3 2 7" xfId="6420" xr:uid="{030F5AEB-2D6F-4489-B05E-8EBAEB5CBA13}"/>
    <cellStyle name="Normal 4 4 2 3 2 8" xfId="2116" xr:uid="{06CEFFDE-7831-4E1B-B801-6B7E69D88326}"/>
    <cellStyle name="Normal 4 4 2 3 2 9" xfId="1286" xr:uid="{E6D9133B-0F58-4A12-87A8-DCA864227E6F}"/>
    <cellStyle name="Normal 4 4 2 3 3" xfId="867" xr:uid="{00000000-0005-0000-0000-0000A8020000}"/>
    <cellStyle name="Normal 4 4 2 3 3 2" xfId="4759" xr:uid="{FA42C1E7-201C-4163-B0DD-ED1BE722B63B}"/>
    <cellStyle name="Normal 4 4 2 3 3 2 2" xfId="8977" xr:uid="{EB60FCAC-B421-4CE0-94B5-F10E55CE2CF1}"/>
    <cellStyle name="Normal 4 4 2 3 3 3" xfId="6832" xr:uid="{15842895-DCB7-47C2-A8CF-3F3F8F424169}"/>
    <cellStyle name="Normal 4 4 2 3 3 4" xfId="2530" xr:uid="{3E167064-31C0-4F92-B660-73BC188DCF0A}"/>
    <cellStyle name="Normal 4 4 2 3 3 5" xfId="1701" xr:uid="{F4314983-4C27-4236-B9F5-95EC757CF6E2}"/>
    <cellStyle name="Normal 4 4 2 3 3 6" xfId="11067" xr:uid="{5A43D57D-9D82-42CC-96AE-AD0854F9DD59}"/>
    <cellStyle name="Normal 4 4 2 3 4" xfId="2943" xr:uid="{0293E34F-C701-429C-A7FA-FD6AFF658884}"/>
    <cellStyle name="Normal 4 4 2 3 4 2" xfId="5172" xr:uid="{D3B19973-C1A6-4E6C-82A4-15DA0CC4CF8B}"/>
    <cellStyle name="Normal 4 4 2 3 4 2 2" xfId="9390" xr:uid="{67C0499E-6C79-4F57-AB63-C2BC68A77DEA}"/>
    <cellStyle name="Normal 4 4 2 3 4 3" xfId="7245" xr:uid="{2F6711AC-4278-4AE2-B310-5766A0CD2CF6}"/>
    <cellStyle name="Normal 4 4 2 3 5" xfId="3356" xr:uid="{47090750-537A-448B-88B9-91E99401215A}"/>
    <cellStyle name="Normal 4 4 2 3 5 2" xfId="5585" xr:uid="{34DF13A6-0D52-4CBE-9F12-2CAA0A452EE3}"/>
    <cellStyle name="Normal 4 4 2 3 5 2 2" xfId="9803" xr:uid="{71E7C5E2-664A-4705-B27F-86B391FEEBC6}"/>
    <cellStyle name="Normal 4 4 2 3 5 3" xfId="7658" xr:uid="{1B26A98B-EF58-494E-99F5-788A85544468}"/>
    <cellStyle name="Normal 4 4 2 3 6" xfId="3769" xr:uid="{25FD1FDD-ACC7-43DD-98B5-ACCE8E9DB3D8}"/>
    <cellStyle name="Normal 4 4 2 3 6 2" xfId="5998" xr:uid="{8C38EB52-9407-43A7-87A5-B16D02936E40}"/>
    <cellStyle name="Normal 4 4 2 3 6 2 2" xfId="10216" xr:uid="{CB8F45E7-5C38-4284-84F5-B3863ABB07F1}"/>
    <cellStyle name="Normal 4 4 2 3 6 3" xfId="8071" xr:uid="{D587FA1B-CD36-4C3F-8FEE-402184D06EAE}"/>
    <cellStyle name="Normal 4 4 2 3 7" xfId="4205" xr:uid="{B58E1074-5F01-4BA0-9FB0-3FB630D0AF39}"/>
    <cellStyle name="Normal 4 4 2 3 7 2" xfId="8484" xr:uid="{A23AE3B4-004A-4120-BF6A-F7E9F728DAD7}"/>
    <cellStyle name="Normal 4 4 2 3 8" xfId="6419" xr:uid="{AFE77AA9-4BB6-47DD-8C81-4C4E51B3FA1F}"/>
    <cellStyle name="Normal 4 4 2 3 9" xfId="2115" xr:uid="{F28C6070-87D4-41B1-98D5-BA60135457F6}"/>
    <cellStyle name="Normal 4 4 2 4" xfId="389" xr:uid="{00000000-0005-0000-0000-0000A9020000}"/>
    <cellStyle name="Normal 4 4 2 4 10" xfId="10653" xr:uid="{CB2E33B3-844C-49C1-BCE7-46D9B7E309B5}"/>
    <cellStyle name="Normal 4 4 2 4 2" xfId="869" xr:uid="{00000000-0005-0000-0000-0000AA020000}"/>
    <cellStyle name="Normal 4 4 2 4 2 2" xfId="4761" xr:uid="{B4F0B8D5-7558-4EF2-8C06-80EF68D03A1C}"/>
    <cellStyle name="Normal 4 4 2 4 2 2 2" xfId="8979" xr:uid="{F52EFD03-E32E-4047-AB1B-4848547E614B}"/>
    <cellStyle name="Normal 4 4 2 4 2 3" xfId="6834" xr:uid="{7F48C82C-698C-4100-9C01-B98B5EC2C31C}"/>
    <cellStyle name="Normal 4 4 2 4 2 4" xfId="2532" xr:uid="{C1B5FD3B-AC91-4983-92F3-EE95A7F6DE75}"/>
    <cellStyle name="Normal 4 4 2 4 2 5" xfId="1703" xr:uid="{27CA2685-D88D-4514-B90E-6B513B8BF757}"/>
    <cellStyle name="Normal 4 4 2 4 2 6" xfId="11069" xr:uid="{CEC0082E-9874-4572-AD0F-E4E85E29A55C}"/>
    <cellStyle name="Normal 4 4 2 4 3" xfId="2945" xr:uid="{30EFDA2C-AA95-419A-A1F6-31C6431CC3B7}"/>
    <cellStyle name="Normal 4 4 2 4 3 2" xfId="5174" xr:uid="{99DD5B79-87C4-4E38-8413-FFBBD934714D}"/>
    <cellStyle name="Normal 4 4 2 4 3 2 2" xfId="9392" xr:uid="{A77BE846-4CB2-4B88-846F-D9477319CEDE}"/>
    <cellStyle name="Normal 4 4 2 4 3 3" xfId="7247" xr:uid="{7A93178B-7A73-413C-9410-C555777C0BAB}"/>
    <cellStyle name="Normal 4 4 2 4 4" xfId="3358" xr:uid="{3C3AB3B5-7875-4516-9FB4-F5DC82498E7F}"/>
    <cellStyle name="Normal 4 4 2 4 4 2" xfId="5587" xr:uid="{F32886B7-FA0E-4897-B136-6662EDC1D1F3}"/>
    <cellStyle name="Normal 4 4 2 4 4 2 2" xfId="9805" xr:uid="{E03F4618-61E8-4594-852B-E32F56AE7F60}"/>
    <cellStyle name="Normal 4 4 2 4 4 3" xfId="7660" xr:uid="{FDE0D34A-ADCB-475B-B08D-F95621DCF1BF}"/>
    <cellStyle name="Normal 4 4 2 4 5" xfId="3771" xr:uid="{06C82F2B-055C-4FE6-B4B8-2C93869D42AA}"/>
    <cellStyle name="Normal 4 4 2 4 5 2" xfId="6000" xr:uid="{F05E86D8-D184-4A75-BE5C-775F34F7C8CA}"/>
    <cellStyle name="Normal 4 4 2 4 5 2 2" xfId="10218" xr:uid="{647D1347-9200-497C-8F0A-A9B3FE61E9CD}"/>
    <cellStyle name="Normal 4 4 2 4 5 3" xfId="8073" xr:uid="{47C27152-AC5C-4D44-B191-4E140D724477}"/>
    <cellStyle name="Normal 4 4 2 4 6" xfId="4207" xr:uid="{B14E1A32-39C3-4799-A468-545D1345085C}"/>
    <cellStyle name="Normal 4 4 2 4 6 2" xfId="8486" xr:uid="{5D3D09E8-BEB8-42B6-B00A-06698F71B4F2}"/>
    <cellStyle name="Normal 4 4 2 4 7" xfId="6421" xr:uid="{864949FB-8748-4298-A7A0-AEE16BEB6A29}"/>
    <cellStyle name="Normal 4 4 2 4 8" xfId="2117" xr:uid="{ADF0CAC2-2C12-403F-A511-D4E132BABB60}"/>
    <cellStyle name="Normal 4 4 2 4 9" xfId="1287" xr:uid="{D1526FE1-4A18-46C4-9DDE-AB21DE65C4C9}"/>
    <cellStyle name="Normal 4 4 2 5" xfId="862" xr:uid="{00000000-0005-0000-0000-0000AB020000}"/>
    <cellStyle name="Normal 4 4 2 5 2" xfId="4754" xr:uid="{B0EC0484-6E19-4AC2-9D49-4FF3495E821C}"/>
    <cellStyle name="Normal 4 4 2 5 2 2" xfId="8972" xr:uid="{7823A15D-4C6C-49DE-B6D5-1163F7C4BDED}"/>
    <cellStyle name="Normal 4 4 2 5 3" xfId="6827" xr:uid="{29A619D0-3D89-45CC-AE4F-A1ACC3931941}"/>
    <cellStyle name="Normal 4 4 2 5 4" xfId="2525" xr:uid="{D5CD8DA7-4A0E-462B-B7E0-D60E3293C7DA}"/>
    <cellStyle name="Normal 4 4 2 5 5" xfId="1696" xr:uid="{9EED6836-E7EC-4FFC-8B59-E1420238A531}"/>
    <cellStyle name="Normal 4 4 2 5 6" xfId="11062" xr:uid="{0C974632-E072-4652-B947-079312C39FD6}"/>
    <cellStyle name="Normal 4 4 2 6" xfId="2938" xr:uid="{3ED102CE-9B88-4928-B221-19E2329DDE77}"/>
    <cellStyle name="Normal 4 4 2 6 2" xfId="5167" xr:uid="{3EBEF9F8-F90E-4171-BF6C-85ACB85F398E}"/>
    <cellStyle name="Normal 4 4 2 6 2 2" xfId="9385" xr:uid="{36FC41E6-58D9-4A6C-B9B3-7F783DF9EE77}"/>
    <cellStyle name="Normal 4 4 2 6 3" xfId="7240" xr:uid="{D19DCF4B-C490-421B-B7E3-8F1AF831BA6F}"/>
    <cellStyle name="Normal 4 4 2 7" xfId="3351" xr:uid="{18752445-A742-4678-91CB-B2E05F5B65A5}"/>
    <cellStyle name="Normal 4 4 2 7 2" xfId="5580" xr:uid="{5D7FE11A-0C32-45A2-A29E-159768532A8A}"/>
    <cellStyle name="Normal 4 4 2 7 2 2" xfId="9798" xr:uid="{B707A746-09EF-4ACD-B36A-F37EED5B5ADF}"/>
    <cellStyle name="Normal 4 4 2 7 3" xfId="7653" xr:uid="{9EF6192C-0D02-4094-88C8-66F41868138A}"/>
    <cellStyle name="Normal 4 4 2 8" xfId="3764" xr:uid="{3ECE4D20-3D10-440D-B0BA-4A9CB67A54E1}"/>
    <cellStyle name="Normal 4 4 2 8 2" xfId="5993" xr:uid="{45D1DC73-6B99-4596-B8D6-59F652003B8B}"/>
    <cellStyle name="Normal 4 4 2 8 2 2" xfId="10211" xr:uid="{A4C21AA9-98C4-4559-A6F7-CFD1DBDF199C}"/>
    <cellStyle name="Normal 4 4 2 8 3" xfId="8066" xr:uid="{F05335E1-999C-4076-9BDA-9B12090552C9}"/>
    <cellStyle name="Normal 4 4 2 9" xfId="4200" xr:uid="{4B02223B-9B02-41A8-9B8B-08B0477DC096}"/>
    <cellStyle name="Normal 4 4 2 9 2" xfId="8479" xr:uid="{BC54F93F-17B6-47BD-9E95-4A71FB5166E2}"/>
    <cellStyle name="Normal 4 4 3" xfId="390" xr:uid="{00000000-0005-0000-0000-0000AC020000}"/>
    <cellStyle name="Normal 4 4 3 10" xfId="2118" xr:uid="{F8288E0A-5377-43ED-880B-F7C922E3DFBE}"/>
    <cellStyle name="Normal 4 4 3 11" xfId="1288" xr:uid="{52EBA467-1903-4E56-8445-299F2C88420F}"/>
    <cellStyle name="Normal 4 4 3 12" xfId="10654" xr:uid="{13D13756-E887-40F7-A314-D51C391944F2}"/>
    <cellStyle name="Normal 4 4 3 2" xfId="391" xr:uid="{00000000-0005-0000-0000-0000AD020000}"/>
    <cellStyle name="Normal 4 4 3 2 10" xfId="1289" xr:uid="{12D88993-7913-4908-A95C-48753E6D7317}"/>
    <cellStyle name="Normal 4 4 3 2 11" xfId="10655" xr:uid="{66022AB8-AC11-4FC9-B81A-E5B27B52D9E3}"/>
    <cellStyle name="Normal 4 4 3 2 2" xfId="392" xr:uid="{00000000-0005-0000-0000-0000AE020000}"/>
    <cellStyle name="Normal 4 4 3 2 2 10" xfId="10656" xr:uid="{38C5A80E-7068-4BE3-8E39-46D05EC627DE}"/>
    <cellStyle name="Normal 4 4 3 2 2 2" xfId="872" xr:uid="{00000000-0005-0000-0000-0000AF020000}"/>
    <cellStyle name="Normal 4 4 3 2 2 2 2" xfId="4764" xr:uid="{04E6659E-062F-4439-BE29-95A559294A27}"/>
    <cellStyle name="Normal 4 4 3 2 2 2 2 2" xfId="8982" xr:uid="{AC5A7F03-DF6D-4F78-9492-22BA94179C38}"/>
    <cellStyle name="Normal 4 4 3 2 2 2 3" xfId="6837" xr:uid="{3D6CA549-17DD-4DFD-8C7B-DB3AA14E827B}"/>
    <cellStyle name="Normal 4 4 3 2 2 2 4" xfId="2535" xr:uid="{D88604E8-C233-452D-8082-F27A17B9B0C3}"/>
    <cellStyle name="Normal 4 4 3 2 2 2 5" xfId="1706" xr:uid="{1F9FA441-98DF-427F-8A9E-A7CA3902E6EB}"/>
    <cellStyle name="Normal 4 4 3 2 2 2 6" xfId="11072" xr:uid="{9CA33B9F-11A9-4600-B09E-384ABFA656E9}"/>
    <cellStyle name="Normal 4 4 3 2 2 3" xfId="2948" xr:uid="{FD066953-B04E-48A2-A925-8133D62432B9}"/>
    <cellStyle name="Normal 4 4 3 2 2 3 2" xfId="5177" xr:uid="{47558E94-6B48-4C48-9CB0-46606A2E1300}"/>
    <cellStyle name="Normal 4 4 3 2 2 3 2 2" xfId="9395" xr:uid="{08664123-7B60-4961-9638-A45DEC6DB30C}"/>
    <cellStyle name="Normal 4 4 3 2 2 3 3" xfId="7250" xr:uid="{E6B4E560-7164-4F4B-B6B1-F38C676C560E}"/>
    <cellStyle name="Normal 4 4 3 2 2 4" xfId="3361" xr:uid="{0502265C-CCF9-414D-AD05-76EAA118DFF2}"/>
    <cellStyle name="Normal 4 4 3 2 2 4 2" xfId="5590" xr:uid="{7F15DE0F-C67D-421D-9873-AC024F22B12E}"/>
    <cellStyle name="Normal 4 4 3 2 2 4 2 2" xfId="9808" xr:uid="{64A2E0A1-09A6-468F-B52B-0EF91727109D}"/>
    <cellStyle name="Normal 4 4 3 2 2 4 3" xfId="7663" xr:uid="{D8B05255-4B7F-43FA-A36A-C156D8BEFB4B}"/>
    <cellStyle name="Normal 4 4 3 2 2 5" xfId="3774" xr:uid="{2AD2EA5E-4160-4FE1-B52E-BA7AE0B325B6}"/>
    <cellStyle name="Normal 4 4 3 2 2 5 2" xfId="6003" xr:uid="{CE0E6E8F-CB2B-4793-9892-982478B8049C}"/>
    <cellStyle name="Normal 4 4 3 2 2 5 2 2" xfId="10221" xr:uid="{002F346E-C14A-4613-B288-B4924DC1D388}"/>
    <cellStyle name="Normal 4 4 3 2 2 5 3" xfId="8076" xr:uid="{C717ADF8-5EC1-4D76-8A45-4D7A567823B5}"/>
    <cellStyle name="Normal 4 4 3 2 2 6" xfId="4210" xr:uid="{D05699A8-B1AD-40F5-8708-90B0EF266919}"/>
    <cellStyle name="Normal 4 4 3 2 2 6 2" xfId="8489" xr:uid="{1BF17FEC-C500-49D9-82FE-4296A3A7E9CB}"/>
    <cellStyle name="Normal 4 4 3 2 2 7" xfId="6424" xr:uid="{9E2EEAED-5EA1-42AF-A6F9-317630EE9BE9}"/>
    <cellStyle name="Normal 4 4 3 2 2 8" xfId="2120" xr:uid="{3A71BBD7-5260-4ADC-97F3-AC11FFE6BCB2}"/>
    <cellStyle name="Normal 4 4 3 2 2 9" xfId="1290" xr:uid="{F133D132-36A0-4706-8E7B-F8C98FB43BE1}"/>
    <cellStyle name="Normal 4 4 3 2 3" xfId="871" xr:uid="{00000000-0005-0000-0000-0000B0020000}"/>
    <cellStyle name="Normal 4 4 3 2 3 2" xfId="4763" xr:uid="{4DC16612-7993-4689-8269-A881A6D667DC}"/>
    <cellStyle name="Normal 4 4 3 2 3 2 2" xfId="8981" xr:uid="{6CF04E0A-AF3C-44F0-A792-FD5BE3C45921}"/>
    <cellStyle name="Normal 4 4 3 2 3 3" xfId="6836" xr:uid="{BBEA3DB3-2E6B-4ABE-ACBD-E9AA1D7E0D7A}"/>
    <cellStyle name="Normal 4 4 3 2 3 4" xfId="2534" xr:uid="{8A77652A-EC93-4D63-8F3C-15E7A6A4A217}"/>
    <cellStyle name="Normal 4 4 3 2 3 5" xfId="1705" xr:uid="{C8C6F2B1-D393-4803-96CB-EDA1A983DA08}"/>
    <cellStyle name="Normal 4 4 3 2 3 6" xfId="11071" xr:uid="{56BB13A7-F1C5-41B2-94F8-682F71418C34}"/>
    <cellStyle name="Normal 4 4 3 2 4" xfId="2947" xr:uid="{24B39CDE-C75B-4AC8-80CC-FEEAFD930760}"/>
    <cellStyle name="Normal 4 4 3 2 4 2" xfId="5176" xr:uid="{C8DC3BF0-3817-44A2-9B1A-DA424632FB93}"/>
    <cellStyle name="Normal 4 4 3 2 4 2 2" xfId="9394" xr:uid="{53E6C3B7-60C6-48F7-A4FE-1EC25F71F385}"/>
    <cellStyle name="Normal 4 4 3 2 4 3" xfId="7249" xr:uid="{8E08D868-61EB-4F2F-8EEE-2292CC50B16E}"/>
    <cellStyle name="Normal 4 4 3 2 5" xfId="3360" xr:uid="{2313EE4B-34B8-41CA-A793-55FD94AED88F}"/>
    <cellStyle name="Normal 4 4 3 2 5 2" xfId="5589" xr:uid="{2420BB8D-0DBF-4C6A-8326-890A162DFEB1}"/>
    <cellStyle name="Normal 4 4 3 2 5 2 2" xfId="9807" xr:uid="{6EA0E859-6032-4930-BFCB-6E63733BC6CB}"/>
    <cellStyle name="Normal 4 4 3 2 5 3" xfId="7662" xr:uid="{C140EE30-B23A-4A28-BE34-C2C829E08F81}"/>
    <cellStyle name="Normal 4 4 3 2 6" xfId="3773" xr:uid="{9BAC0A53-0E0C-40BC-BC6C-5DF54F734878}"/>
    <cellStyle name="Normal 4 4 3 2 6 2" xfId="6002" xr:uid="{D2069A2E-AF19-4357-A94C-CBE8464E6808}"/>
    <cellStyle name="Normal 4 4 3 2 6 2 2" xfId="10220" xr:uid="{FB34573E-7DE5-4489-AD65-E1B50B0ABC95}"/>
    <cellStyle name="Normal 4 4 3 2 6 3" xfId="8075" xr:uid="{941E3075-A496-49ED-B439-C40A277AE6F6}"/>
    <cellStyle name="Normal 4 4 3 2 7" xfId="4209" xr:uid="{8661D7B1-4DF2-403D-B07F-AF915EC7A7B1}"/>
    <cellStyle name="Normal 4 4 3 2 7 2" xfId="8488" xr:uid="{9FFFC0FC-0ACC-4DFE-BD39-63290C098945}"/>
    <cellStyle name="Normal 4 4 3 2 8" xfId="6423" xr:uid="{8F34743D-8926-4358-8339-0FB0C707533C}"/>
    <cellStyle name="Normal 4 4 3 2 9" xfId="2119" xr:uid="{6EC9C2F5-8E8C-4342-BBDC-88D4B359E522}"/>
    <cellStyle name="Normal 4 4 3 3" xfId="393" xr:uid="{00000000-0005-0000-0000-0000B1020000}"/>
    <cellStyle name="Normal 4 4 3 3 10" xfId="10657" xr:uid="{2812B68F-DB3A-4007-B345-28CF986F94B7}"/>
    <cellStyle name="Normal 4 4 3 3 2" xfId="873" xr:uid="{00000000-0005-0000-0000-0000B2020000}"/>
    <cellStyle name="Normal 4 4 3 3 2 2" xfId="4765" xr:uid="{B999A0BE-2998-4617-8428-008E979817E3}"/>
    <cellStyle name="Normal 4 4 3 3 2 2 2" xfId="8983" xr:uid="{7DCDB5D2-A64A-4488-A465-ADE0EEDB92F9}"/>
    <cellStyle name="Normal 4 4 3 3 2 3" xfId="6838" xr:uid="{0BEB81BB-4E72-4ECD-8933-E4D77DF576DF}"/>
    <cellStyle name="Normal 4 4 3 3 2 4" xfId="2536" xr:uid="{F112B57E-C36C-49B3-9473-40CE7128BB0C}"/>
    <cellStyle name="Normal 4 4 3 3 2 5" xfId="1707" xr:uid="{3D94B670-783E-48FC-BBCC-D6BD8AE053A7}"/>
    <cellStyle name="Normal 4 4 3 3 2 6" xfId="11073" xr:uid="{1154AF30-7DCA-4915-A2D2-0BE13B51B2F9}"/>
    <cellStyle name="Normal 4 4 3 3 3" xfId="2949" xr:uid="{5E43696B-0952-43DF-AE81-20D78DF4C40C}"/>
    <cellStyle name="Normal 4 4 3 3 3 2" xfId="5178" xr:uid="{37D0262D-F18B-4E60-B2EB-0C42CF1C5BAA}"/>
    <cellStyle name="Normal 4 4 3 3 3 2 2" xfId="9396" xr:uid="{031D2294-935E-44A6-9F89-0B3C591E5CAE}"/>
    <cellStyle name="Normal 4 4 3 3 3 3" xfId="7251" xr:uid="{89047F32-FDA5-4EBD-BDA1-45969720142D}"/>
    <cellStyle name="Normal 4 4 3 3 4" xfId="3362" xr:uid="{A0209A5D-7E4F-400E-9389-0DF16A0FD50B}"/>
    <cellStyle name="Normal 4 4 3 3 4 2" xfId="5591" xr:uid="{E815DD80-F6C3-4CAB-AF29-5EE09F6FE968}"/>
    <cellStyle name="Normal 4 4 3 3 4 2 2" xfId="9809" xr:uid="{9661FDEC-2FC3-4034-BB7C-4ABE5700EBAB}"/>
    <cellStyle name="Normal 4 4 3 3 4 3" xfId="7664" xr:uid="{C8A7FA67-06BE-4984-988E-083939B36CFE}"/>
    <cellStyle name="Normal 4 4 3 3 5" xfId="3775" xr:uid="{ED605F0E-87BE-473F-9008-0B1E07B5F455}"/>
    <cellStyle name="Normal 4 4 3 3 5 2" xfId="6004" xr:uid="{84D7CAC6-4E34-4984-B824-537B69AF5ABA}"/>
    <cellStyle name="Normal 4 4 3 3 5 2 2" xfId="10222" xr:uid="{DD32DC04-634D-41F2-B8B4-C0380F4A60F9}"/>
    <cellStyle name="Normal 4 4 3 3 5 3" xfId="8077" xr:uid="{1611A125-37AD-4A0A-BE60-EA38AF989E3B}"/>
    <cellStyle name="Normal 4 4 3 3 6" xfId="4211" xr:uid="{E4CFBF96-ABCB-4EC8-8D2A-51A7D5F63D18}"/>
    <cellStyle name="Normal 4 4 3 3 6 2" xfId="8490" xr:uid="{D88DDC49-3B35-46E7-93F1-F6341C7CEED5}"/>
    <cellStyle name="Normal 4 4 3 3 7" xfId="6425" xr:uid="{7F85E7E9-306A-4A4A-A4B5-887855AD8AB1}"/>
    <cellStyle name="Normal 4 4 3 3 8" xfId="2121" xr:uid="{90F3C87E-706D-465F-83DB-51AA45B67193}"/>
    <cellStyle name="Normal 4 4 3 3 9" xfId="1291" xr:uid="{AB9AEDFA-E7AB-4C87-AEE2-58EDF7C371D5}"/>
    <cellStyle name="Normal 4 4 3 4" xfId="870" xr:uid="{00000000-0005-0000-0000-0000B3020000}"/>
    <cellStyle name="Normal 4 4 3 4 2" xfId="4762" xr:uid="{AE22F423-E61F-486F-9686-0840A7BA8325}"/>
    <cellStyle name="Normal 4 4 3 4 2 2" xfId="8980" xr:uid="{5AFF353A-193B-49AE-B083-024BE6143834}"/>
    <cellStyle name="Normal 4 4 3 4 3" xfId="6835" xr:uid="{266B2981-63B0-4082-923D-AEC8975CA709}"/>
    <cellStyle name="Normal 4 4 3 4 4" xfId="2533" xr:uid="{4A47AEE5-F8B9-4F23-98DE-04A5E7A92ACD}"/>
    <cellStyle name="Normal 4 4 3 4 5" xfId="1704" xr:uid="{302BBDFB-383D-4DD9-9014-89D0215792AB}"/>
    <cellStyle name="Normal 4 4 3 4 6" xfId="11070" xr:uid="{33DDA275-0078-4C43-B11C-FDB33C089888}"/>
    <cellStyle name="Normal 4 4 3 5" xfId="2946" xr:uid="{9FE4C27D-6487-492E-856B-29D17DC55E7D}"/>
    <cellStyle name="Normal 4 4 3 5 2" xfId="5175" xr:uid="{B443478A-B7EA-462F-9E47-F0AD41F989F0}"/>
    <cellStyle name="Normal 4 4 3 5 2 2" xfId="9393" xr:uid="{CF788CC6-19F8-4E33-A6CD-BB3188311960}"/>
    <cellStyle name="Normal 4 4 3 5 3" xfId="7248" xr:uid="{607F7998-24FF-490D-B080-E3F9E984842B}"/>
    <cellStyle name="Normal 4 4 3 6" xfId="3359" xr:uid="{CF087D20-B4CE-4E2C-BAA2-4F64EF27290D}"/>
    <cellStyle name="Normal 4 4 3 6 2" xfId="5588" xr:uid="{D5DF654E-F8FD-4CA7-9EFA-CE6C38B9EDA7}"/>
    <cellStyle name="Normal 4 4 3 6 2 2" xfId="9806" xr:uid="{3EDE41B3-DDA1-4BEF-8D90-AE913D2AF90A}"/>
    <cellStyle name="Normal 4 4 3 6 3" xfId="7661" xr:uid="{B22985EC-F841-4339-80D9-9DE53A972718}"/>
    <cellStyle name="Normal 4 4 3 7" xfId="3772" xr:uid="{C2FEB2D6-5283-4760-9FBF-B55D50DE1295}"/>
    <cellStyle name="Normal 4 4 3 7 2" xfId="6001" xr:uid="{4CB95C54-A325-4182-8DE6-63315A550D40}"/>
    <cellStyle name="Normal 4 4 3 7 2 2" xfId="10219" xr:uid="{9C976813-38B7-4D66-BDA1-E791A6F5AE87}"/>
    <cellStyle name="Normal 4 4 3 7 3" xfId="8074" xr:uid="{4924E27B-F6AD-4741-9A21-B5BC245B7F44}"/>
    <cellStyle name="Normal 4 4 3 8" xfId="4208" xr:uid="{8F7BD85E-E365-429F-9F96-0A405388AE63}"/>
    <cellStyle name="Normal 4 4 3 8 2" xfId="8487" xr:uid="{9D182343-5FDC-497E-AE60-B838D209B9DD}"/>
    <cellStyle name="Normal 4 4 3 9" xfId="6422" xr:uid="{C228A0D5-2C83-4C21-8E47-8D82262D1ACF}"/>
    <cellStyle name="Normal 4 4 4" xfId="394" xr:uid="{00000000-0005-0000-0000-0000B4020000}"/>
    <cellStyle name="Normal 4 4 4 10" xfId="1292" xr:uid="{F0CCE1E9-9067-4AEE-B135-83989EAD4EA7}"/>
    <cellStyle name="Normal 4 4 4 11" xfId="10658" xr:uid="{786A3210-1429-4AF7-9072-C40FE3AC2F45}"/>
    <cellStyle name="Normal 4 4 4 2" xfId="395" xr:uid="{00000000-0005-0000-0000-0000B5020000}"/>
    <cellStyle name="Normal 4 4 4 2 10" xfId="10659" xr:uid="{288C4D78-AFC4-4E70-A859-62859136F9D8}"/>
    <cellStyle name="Normal 4 4 4 2 2" xfId="875" xr:uid="{00000000-0005-0000-0000-0000B6020000}"/>
    <cellStyle name="Normal 4 4 4 2 2 2" xfId="4767" xr:uid="{FA19FF31-0FF6-4E13-988D-BA790A08E6FE}"/>
    <cellStyle name="Normal 4 4 4 2 2 2 2" xfId="8985" xr:uid="{81042284-D3C4-41EF-98DB-3F623B33F4F6}"/>
    <cellStyle name="Normal 4 4 4 2 2 3" xfId="6840" xr:uid="{489DED5C-F0FB-4522-8650-465122237348}"/>
    <cellStyle name="Normal 4 4 4 2 2 4" xfId="2538" xr:uid="{CCCA4CEF-AF16-45A9-B0DA-772495B62DCC}"/>
    <cellStyle name="Normal 4 4 4 2 2 5" xfId="1709" xr:uid="{7D9DACDF-053A-41A9-9225-76CE0E45ED27}"/>
    <cellStyle name="Normal 4 4 4 2 2 6" xfId="11075" xr:uid="{C2C02A35-3616-40A1-9C8B-BBD5DEE1ED11}"/>
    <cellStyle name="Normal 4 4 4 2 3" xfId="2951" xr:uid="{D2F858D1-6E1B-48F6-BE92-0CB33752F981}"/>
    <cellStyle name="Normal 4 4 4 2 3 2" xfId="5180" xr:uid="{821D5B37-E48F-49A8-BE6D-7344C4363057}"/>
    <cellStyle name="Normal 4 4 4 2 3 2 2" xfId="9398" xr:uid="{79AEF315-1E00-4391-8DDC-2E9ADA2D3644}"/>
    <cellStyle name="Normal 4 4 4 2 3 3" xfId="7253" xr:uid="{3351767D-CE0D-4D54-A3C2-C01DC2BAD6DA}"/>
    <cellStyle name="Normal 4 4 4 2 4" xfId="3364" xr:uid="{1E484E13-C0AC-4CA9-8D11-B3BC93573A2D}"/>
    <cellStyle name="Normal 4 4 4 2 4 2" xfId="5593" xr:uid="{C67DB79E-8843-4E64-938A-16EA9131D8F5}"/>
    <cellStyle name="Normal 4 4 4 2 4 2 2" xfId="9811" xr:uid="{88A425A9-3880-4221-A447-8D60FED5043E}"/>
    <cellStyle name="Normal 4 4 4 2 4 3" xfId="7666" xr:uid="{5133B118-9E7D-4467-846D-F70571E877E1}"/>
    <cellStyle name="Normal 4 4 4 2 5" xfId="3777" xr:uid="{ACC910D1-4025-4BD0-BC9A-736A2E611B37}"/>
    <cellStyle name="Normal 4 4 4 2 5 2" xfId="6006" xr:uid="{339287AF-829B-4615-8E68-AFC97A7CCBBD}"/>
    <cellStyle name="Normal 4 4 4 2 5 2 2" xfId="10224" xr:uid="{CF46B11A-2BED-4B26-BD1A-F3820A0DB894}"/>
    <cellStyle name="Normal 4 4 4 2 5 3" xfId="8079" xr:uid="{319C2296-8205-4991-A5A2-1364D890F4F2}"/>
    <cellStyle name="Normal 4 4 4 2 6" xfId="4213" xr:uid="{01651E23-53F6-4C37-822A-659D1FE625BA}"/>
    <cellStyle name="Normal 4 4 4 2 6 2" xfId="8492" xr:uid="{8A427032-E887-4A0C-A5E9-7BD2B9DAC224}"/>
    <cellStyle name="Normal 4 4 4 2 7" xfId="6427" xr:uid="{C2773126-5C66-4259-A903-FB3ED4CAC345}"/>
    <cellStyle name="Normal 4 4 4 2 8" xfId="2123" xr:uid="{7CDD250D-6168-43F1-AB21-B7B86E723C6E}"/>
    <cellStyle name="Normal 4 4 4 2 9" xfId="1293" xr:uid="{8AD0E3FA-A1F6-464B-BAF1-1CCAAA8C1EE6}"/>
    <cellStyle name="Normal 4 4 4 3" xfId="874" xr:uid="{00000000-0005-0000-0000-0000B7020000}"/>
    <cellStyle name="Normal 4 4 4 3 2" xfId="4766" xr:uid="{8220BFCD-D855-4262-8143-B6287A81CBF5}"/>
    <cellStyle name="Normal 4 4 4 3 2 2" xfId="8984" xr:uid="{1413660A-00E3-4579-BE2E-FAC13FA55734}"/>
    <cellStyle name="Normal 4 4 4 3 3" xfId="6839" xr:uid="{D7ABC5BA-3C1A-4116-92ED-F99A333AB616}"/>
    <cellStyle name="Normal 4 4 4 3 4" xfId="2537" xr:uid="{C55E7F65-1305-4533-9529-F6275F6D2876}"/>
    <cellStyle name="Normal 4 4 4 3 5" xfId="1708" xr:uid="{737A93FC-C008-49FB-BE27-403AB8983131}"/>
    <cellStyle name="Normal 4 4 4 3 6" xfId="11074" xr:uid="{B0CE9C40-D3F1-4951-BAFE-8A014D4963FD}"/>
    <cellStyle name="Normal 4 4 4 4" xfId="2950" xr:uid="{658FCD9D-5D47-4FF7-9DF9-1E43F8643C1D}"/>
    <cellStyle name="Normal 4 4 4 4 2" xfId="5179" xr:uid="{DC5D9C8A-7B09-4951-B65B-6C8D3B1C9640}"/>
    <cellStyle name="Normal 4 4 4 4 2 2" xfId="9397" xr:uid="{FEEC7BB4-9DE8-4287-B5DB-FD50F5EA8387}"/>
    <cellStyle name="Normal 4 4 4 4 3" xfId="7252" xr:uid="{32540A8B-A885-48BE-AEFA-31C6B9F3D4DB}"/>
    <cellStyle name="Normal 4 4 4 5" xfId="3363" xr:uid="{26FF2F1F-DB21-4D48-9879-0C2678CE230D}"/>
    <cellStyle name="Normal 4 4 4 5 2" xfId="5592" xr:uid="{99B00A7C-CC15-452C-8334-4736F5242E6A}"/>
    <cellStyle name="Normal 4 4 4 5 2 2" xfId="9810" xr:uid="{116ED1BE-F088-44DC-A87E-A356587ECB6C}"/>
    <cellStyle name="Normal 4 4 4 5 3" xfId="7665" xr:uid="{53DFF53A-1F18-41AC-B5F1-182F0CB18AC7}"/>
    <cellStyle name="Normal 4 4 4 6" xfId="3776" xr:uid="{3A4E6CC3-1B72-4BFD-B337-C7ED28131FC1}"/>
    <cellStyle name="Normal 4 4 4 6 2" xfId="6005" xr:uid="{20B670CF-078B-4199-A3B2-231AAAA74816}"/>
    <cellStyle name="Normal 4 4 4 6 2 2" xfId="10223" xr:uid="{BBA2EDEF-A984-430B-9F3E-234C2D9CB5C2}"/>
    <cellStyle name="Normal 4 4 4 6 3" xfId="8078" xr:uid="{52E19FD1-3247-461D-A213-52850407E8B1}"/>
    <cellStyle name="Normal 4 4 4 7" xfId="4212" xr:uid="{9B02A4CB-EB17-40FE-B137-BAAAC56E4E8A}"/>
    <cellStyle name="Normal 4 4 4 7 2" xfId="8491" xr:uid="{B25447EF-A340-49B8-AC75-FD69038D2BBD}"/>
    <cellStyle name="Normal 4 4 4 8" xfId="6426" xr:uid="{965FA119-D3E0-4A80-9CB9-014B0A45AE23}"/>
    <cellStyle name="Normal 4 4 4 9" xfId="2122" xr:uid="{3B01E0B5-83C3-4DA6-A51C-B65A25599E55}"/>
    <cellStyle name="Normal 4 4 5" xfId="396" xr:uid="{00000000-0005-0000-0000-0000B8020000}"/>
    <cellStyle name="Normal 4 4 5 10" xfId="10660" xr:uid="{4055F884-97C1-46FD-B096-C59E5A476F70}"/>
    <cellStyle name="Normal 4 4 5 2" xfId="876" xr:uid="{00000000-0005-0000-0000-0000B9020000}"/>
    <cellStyle name="Normal 4 4 5 2 2" xfId="4768" xr:uid="{9A5EC934-E9AF-4102-AB5B-86024B723BBC}"/>
    <cellStyle name="Normal 4 4 5 2 2 2" xfId="8986" xr:uid="{3065F0CD-0D26-43E5-BEBF-264B796AF1E6}"/>
    <cellStyle name="Normal 4 4 5 2 3" xfId="6841" xr:uid="{3A4750C2-5C81-4BC8-909A-27157C2B4528}"/>
    <cellStyle name="Normal 4 4 5 2 4" xfId="2539" xr:uid="{04A6575A-8B11-4CEB-ACCC-0EBB76140578}"/>
    <cellStyle name="Normal 4 4 5 2 5" xfId="1710" xr:uid="{C684A726-9BDD-4F4A-87C0-AA6523EBA30A}"/>
    <cellStyle name="Normal 4 4 5 2 6" xfId="11076" xr:uid="{EDE0F3E0-F2F2-46D9-A283-62AFCDEA3D61}"/>
    <cellStyle name="Normal 4 4 5 3" xfId="2952" xr:uid="{3F444DCF-78C0-49C8-896A-522DC58C5D61}"/>
    <cellStyle name="Normal 4 4 5 3 2" xfId="5181" xr:uid="{5DF3272E-541F-4AFA-9492-077C980367A7}"/>
    <cellStyle name="Normal 4 4 5 3 2 2" xfId="9399" xr:uid="{B0C545BD-53A6-4D1B-8C5C-393C8F2C43AE}"/>
    <cellStyle name="Normal 4 4 5 3 3" xfId="7254" xr:uid="{6912989A-C1BE-4B10-9F0C-236827796785}"/>
    <cellStyle name="Normal 4 4 5 4" xfId="3365" xr:uid="{ACCCFD4C-DF0E-407B-BC60-AF9EFA8CE2C4}"/>
    <cellStyle name="Normal 4 4 5 4 2" xfId="5594" xr:uid="{1C0A7AC9-3D03-41FF-B6C2-2884556FBDE3}"/>
    <cellStyle name="Normal 4 4 5 4 2 2" xfId="9812" xr:uid="{9DC39D49-F84D-4572-B7F5-6F928FF59551}"/>
    <cellStyle name="Normal 4 4 5 4 3" xfId="7667" xr:uid="{7FDA6DF8-2E26-41C5-AE99-D20780F042F9}"/>
    <cellStyle name="Normal 4 4 5 5" xfId="3778" xr:uid="{5DCB5B6D-9625-4611-9348-D2E82ACE7AB2}"/>
    <cellStyle name="Normal 4 4 5 5 2" xfId="6007" xr:uid="{7A3247F8-A859-4040-863E-B9F41CDA4746}"/>
    <cellStyle name="Normal 4 4 5 5 2 2" xfId="10225" xr:uid="{5F621D02-0559-41D9-B4BB-C6870F9B7A48}"/>
    <cellStyle name="Normal 4 4 5 5 3" xfId="8080" xr:uid="{B9FD88B6-FD7D-4016-952D-3A5429AC9508}"/>
    <cellStyle name="Normal 4 4 5 6" xfId="4214" xr:uid="{E3D1EAC4-29C9-41B8-BBA9-64A581B48E93}"/>
    <cellStyle name="Normal 4 4 5 6 2" xfId="8493" xr:uid="{5F42860F-655C-4501-87F0-308D5232F920}"/>
    <cellStyle name="Normal 4 4 5 7" xfId="6428" xr:uid="{F77A0642-4560-4642-A8F8-1C69F8BDBBE3}"/>
    <cellStyle name="Normal 4 4 5 8" xfId="2124" xr:uid="{8472FACC-4B4D-4E72-BCDA-0E331670CE89}"/>
    <cellStyle name="Normal 4 4 5 9" xfId="1294" xr:uid="{791753F6-B5A5-4FD4-9D5A-2B87298246C7}"/>
    <cellStyle name="Normal 4 4 6" xfId="861" xr:uid="{00000000-0005-0000-0000-0000BA020000}"/>
    <cellStyle name="Normal 4 4 6 2" xfId="4753" xr:uid="{143CC89A-C459-48BE-B305-D7D08869572F}"/>
    <cellStyle name="Normal 4 4 6 2 2" xfId="8971" xr:uid="{3BE8DBC8-1BD8-4403-9CC6-83FF1113D5A6}"/>
    <cellStyle name="Normal 4 4 6 3" xfId="6826" xr:uid="{D68E38DE-353D-44DF-9CE9-E5F3CF691A07}"/>
    <cellStyle name="Normal 4 4 6 4" xfId="2524" xr:uid="{E83DD2DD-D84E-4603-99F4-FFE82D332C1E}"/>
    <cellStyle name="Normal 4 4 6 5" xfId="1695" xr:uid="{38749889-6B7C-4298-9B92-9A2BDA99197C}"/>
    <cellStyle name="Normal 4 4 6 6" xfId="11061" xr:uid="{E78299B0-250D-4941-B1D2-203B0EA99985}"/>
    <cellStyle name="Normal 4 4 7" xfId="2937" xr:uid="{FB1524AF-0B44-41BA-8CAD-AE5911C2212A}"/>
    <cellStyle name="Normal 4 4 7 2" xfId="5166" xr:uid="{318C0D80-35A5-4227-8042-3F6FA3BD30FB}"/>
    <cellStyle name="Normal 4 4 7 2 2" xfId="9384" xr:uid="{BB12C3EA-13AB-45C9-90FE-15FF88799119}"/>
    <cellStyle name="Normal 4 4 7 3" xfId="7239" xr:uid="{7CF6B38A-BB97-4718-9143-DE5C7CD76181}"/>
    <cellStyle name="Normal 4 4 8" xfId="3350" xr:uid="{DC8EDED9-2A66-4C1E-A989-3621C98A5ADD}"/>
    <cellStyle name="Normal 4 4 8 2" xfId="5579" xr:uid="{CB5C2094-5BAA-4625-9D96-94F03E10CB57}"/>
    <cellStyle name="Normal 4 4 8 2 2" xfId="9797" xr:uid="{AC818146-B56A-46E1-BC4F-7606810DBF00}"/>
    <cellStyle name="Normal 4 4 8 3" xfId="7652" xr:uid="{015B9A3E-CFB3-4B30-90E9-A623313D0955}"/>
    <cellStyle name="Normal 4 4 9" xfId="3763" xr:uid="{4498922D-D51E-4147-A4A7-E8C11DC131A5}"/>
    <cellStyle name="Normal 4 4 9 2" xfId="5992" xr:uid="{97165C6A-2C52-4BD2-95A0-E73E7AD62118}"/>
    <cellStyle name="Normal 4 4 9 2 2" xfId="10210" xr:uid="{B3D32D7B-06B5-44DF-8C43-F5A36C32E7AE}"/>
    <cellStyle name="Normal 4 4 9 3" xfId="8065" xr:uid="{BC3B972A-1B0A-487F-B923-61791D188171}"/>
    <cellStyle name="Normal 4 5" xfId="397" xr:uid="{00000000-0005-0000-0000-0000BB020000}"/>
    <cellStyle name="Normal 4 6" xfId="398" xr:uid="{00000000-0005-0000-0000-0000BC020000}"/>
    <cellStyle name="Normal 4 6 10" xfId="6429" xr:uid="{C501AFB5-CD4E-4172-8021-F24FEF6DD789}"/>
    <cellStyle name="Normal 4 6 11" xfId="2125" xr:uid="{516F6CD4-BE51-4DD7-A4BC-0E96A3E88CDF}"/>
    <cellStyle name="Normal 4 6 12" xfId="1295" xr:uid="{6A1FB52E-A96E-4BE7-896F-5993E681275D}"/>
    <cellStyle name="Normal 4 6 13" xfId="10661" xr:uid="{2F3AEF2B-D8B4-41AD-888C-1042782C4959}"/>
    <cellStyle name="Normal 4 6 2" xfId="399" xr:uid="{00000000-0005-0000-0000-0000BD020000}"/>
    <cellStyle name="Normal 4 6 2 10" xfId="2126" xr:uid="{BC9F201E-8DFD-4B40-95F7-8BDB86C0BA38}"/>
    <cellStyle name="Normal 4 6 2 11" xfId="1296" xr:uid="{0DBAB556-6FD3-4EED-98AC-1C0071102872}"/>
    <cellStyle name="Normal 4 6 2 12" xfId="10662" xr:uid="{BE07D4F0-E06E-484C-BE21-9B49135EB58C}"/>
    <cellStyle name="Normal 4 6 2 2" xfId="400" xr:uid="{00000000-0005-0000-0000-0000BE020000}"/>
    <cellStyle name="Normal 4 6 2 2 10" xfId="1297" xr:uid="{21D9744B-F685-4E53-B82B-4A9A25CE13B9}"/>
    <cellStyle name="Normal 4 6 2 2 11" xfId="10663" xr:uid="{6DEC92D9-8D39-4ABC-A2FF-9FFF2ECBB8CD}"/>
    <cellStyle name="Normal 4 6 2 2 2" xfId="401" xr:uid="{00000000-0005-0000-0000-0000BF020000}"/>
    <cellStyle name="Normal 4 6 2 2 2 10" xfId="10664" xr:uid="{2826ACB6-550A-4CC0-B449-1FAF7556C083}"/>
    <cellStyle name="Normal 4 6 2 2 2 2" xfId="880" xr:uid="{00000000-0005-0000-0000-0000C0020000}"/>
    <cellStyle name="Normal 4 6 2 2 2 2 2" xfId="4772" xr:uid="{C85F79C2-251C-4DC1-A965-52DB4E231F8A}"/>
    <cellStyle name="Normal 4 6 2 2 2 2 2 2" xfId="8990" xr:uid="{E6F7FF2F-391D-4BA6-9280-447041FAF51C}"/>
    <cellStyle name="Normal 4 6 2 2 2 2 3" xfId="6845" xr:uid="{03E72421-EE65-4F88-AFDA-5F245D273ACD}"/>
    <cellStyle name="Normal 4 6 2 2 2 2 4" xfId="2543" xr:uid="{D21E15AA-AB8E-4D84-B4B8-39AD84F92C13}"/>
    <cellStyle name="Normal 4 6 2 2 2 2 5" xfId="1714" xr:uid="{F679E1A9-CCA4-403D-A3C2-89CCAF268F75}"/>
    <cellStyle name="Normal 4 6 2 2 2 2 6" xfId="11080" xr:uid="{4F999D9A-DC29-49AB-899B-826FB0B29BED}"/>
    <cellStyle name="Normal 4 6 2 2 2 3" xfId="2956" xr:uid="{61D164B3-20E8-4EF5-96E8-51541325C151}"/>
    <cellStyle name="Normal 4 6 2 2 2 3 2" xfId="5185" xr:uid="{F73BC527-5D1E-42A9-A459-D7716B85E035}"/>
    <cellStyle name="Normal 4 6 2 2 2 3 2 2" xfId="9403" xr:uid="{0915C4A7-5AB2-4DF9-88F6-67C5225E2051}"/>
    <cellStyle name="Normal 4 6 2 2 2 3 3" xfId="7258" xr:uid="{2230BC88-4CA7-4E04-818D-C6B0B0F174EB}"/>
    <cellStyle name="Normal 4 6 2 2 2 4" xfId="3369" xr:uid="{908CFF04-4119-487A-BD4C-90215371751D}"/>
    <cellStyle name="Normal 4 6 2 2 2 4 2" xfId="5598" xr:uid="{7BC913BF-F1A7-493D-8982-A9C9BD199F62}"/>
    <cellStyle name="Normal 4 6 2 2 2 4 2 2" xfId="9816" xr:uid="{C889AF8C-A9B7-4714-A30D-CB96FCBE8A8F}"/>
    <cellStyle name="Normal 4 6 2 2 2 4 3" xfId="7671" xr:uid="{9475E20B-394D-4DE5-879D-5EDD156F5206}"/>
    <cellStyle name="Normal 4 6 2 2 2 5" xfId="3782" xr:uid="{2802E679-8B18-4268-9456-252A31204755}"/>
    <cellStyle name="Normal 4 6 2 2 2 5 2" xfId="6011" xr:uid="{19AF938C-827E-40EF-8F60-94CAE1B704DA}"/>
    <cellStyle name="Normal 4 6 2 2 2 5 2 2" xfId="10229" xr:uid="{27FEFB90-3DD9-4E7E-BA31-1B1ADF2860A0}"/>
    <cellStyle name="Normal 4 6 2 2 2 5 3" xfId="8084" xr:uid="{9534DC3A-807B-4709-B5C1-84F0F8B8F1A7}"/>
    <cellStyle name="Normal 4 6 2 2 2 6" xfId="4218" xr:uid="{38171B58-9318-4B86-A93B-9C9E2123F776}"/>
    <cellStyle name="Normal 4 6 2 2 2 6 2" xfId="8497" xr:uid="{1512C0D7-D578-4688-AEE2-8E2B2EAE4513}"/>
    <cellStyle name="Normal 4 6 2 2 2 7" xfId="6432" xr:uid="{6FD9629C-F9CC-45EC-A37E-4D651760B79D}"/>
    <cellStyle name="Normal 4 6 2 2 2 8" xfId="2128" xr:uid="{0DA0122C-5780-4412-A21A-ADADF246EADD}"/>
    <cellStyle name="Normal 4 6 2 2 2 9" xfId="1298" xr:uid="{12AFC376-7769-4051-8006-BF7FE65F1C13}"/>
    <cellStyle name="Normal 4 6 2 2 3" xfId="879" xr:uid="{00000000-0005-0000-0000-0000C1020000}"/>
    <cellStyle name="Normal 4 6 2 2 3 2" xfId="4771" xr:uid="{8D821E42-29AF-4CEB-9C21-C7441F18AD83}"/>
    <cellStyle name="Normal 4 6 2 2 3 2 2" xfId="8989" xr:uid="{B4DF5F3F-C171-4F13-968F-90805449009E}"/>
    <cellStyle name="Normal 4 6 2 2 3 3" xfId="6844" xr:uid="{53B4B853-0D8F-4A82-A679-BB700B1B411D}"/>
    <cellStyle name="Normal 4 6 2 2 3 4" xfId="2542" xr:uid="{DA613FD0-BA43-497B-BA90-03CA30F35B5C}"/>
    <cellStyle name="Normal 4 6 2 2 3 5" xfId="1713" xr:uid="{7B04E328-98F7-4D7A-95E6-DB1169C3C149}"/>
    <cellStyle name="Normal 4 6 2 2 3 6" xfId="11079" xr:uid="{1BC51234-00ED-41B8-9DCE-53FC79C35278}"/>
    <cellStyle name="Normal 4 6 2 2 4" xfId="2955" xr:uid="{86DEBE6E-B802-4342-98FA-1ED9E26B1E9E}"/>
    <cellStyle name="Normal 4 6 2 2 4 2" xfId="5184" xr:uid="{657AE7C6-0936-4109-A550-9B6D1FB126AF}"/>
    <cellStyle name="Normal 4 6 2 2 4 2 2" xfId="9402" xr:uid="{5B71A92E-4B8B-4D24-920D-9594E8DE4B9E}"/>
    <cellStyle name="Normal 4 6 2 2 4 3" xfId="7257" xr:uid="{3DE80A09-7F13-4EC8-A92C-F9B6E7965680}"/>
    <cellStyle name="Normal 4 6 2 2 5" xfId="3368" xr:uid="{ABE65CAC-B49E-46B9-87ED-D32E799FA810}"/>
    <cellStyle name="Normal 4 6 2 2 5 2" xfId="5597" xr:uid="{419887DB-A1D1-4518-BAF4-7C7F96D90437}"/>
    <cellStyle name="Normal 4 6 2 2 5 2 2" xfId="9815" xr:uid="{5C0496CC-689B-4B6D-B3FC-69091BEBD0F5}"/>
    <cellStyle name="Normal 4 6 2 2 5 3" xfId="7670" xr:uid="{2E941195-7134-4222-BDBE-7B8FF0E6BEDA}"/>
    <cellStyle name="Normal 4 6 2 2 6" xfId="3781" xr:uid="{702CC776-A1F7-4BEA-A375-0CF1294BA56D}"/>
    <cellStyle name="Normal 4 6 2 2 6 2" xfId="6010" xr:uid="{87E0B5AF-8FB7-4513-9FF6-1623F2A12486}"/>
    <cellStyle name="Normal 4 6 2 2 6 2 2" xfId="10228" xr:uid="{49121641-27EE-4822-BE1C-57CAB1EAEC2D}"/>
    <cellStyle name="Normal 4 6 2 2 6 3" xfId="8083" xr:uid="{FB7049B7-9BB8-47AF-8D02-F5FC1631271E}"/>
    <cellStyle name="Normal 4 6 2 2 7" xfId="4217" xr:uid="{3596E57C-AA92-4D7D-8F3B-8E7CB2BB53EC}"/>
    <cellStyle name="Normal 4 6 2 2 7 2" xfId="8496" xr:uid="{80620AE8-3C46-4358-97A5-19E291D7B625}"/>
    <cellStyle name="Normal 4 6 2 2 8" xfId="6431" xr:uid="{AC387F01-A473-4173-A251-2FF81B15CE4D}"/>
    <cellStyle name="Normal 4 6 2 2 9" xfId="2127" xr:uid="{35D594F6-F507-4502-A603-8173D6F81561}"/>
    <cellStyle name="Normal 4 6 2 3" xfId="402" xr:uid="{00000000-0005-0000-0000-0000C2020000}"/>
    <cellStyle name="Normal 4 6 2 3 10" xfId="10665" xr:uid="{14055B36-8D3E-4599-BF6B-AC96354F935C}"/>
    <cellStyle name="Normal 4 6 2 3 2" xfId="881" xr:uid="{00000000-0005-0000-0000-0000C3020000}"/>
    <cellStyle name="Normal 4 6 2 3 2 2" xfId="4773" xr:uid="{77866A17-E35D-4C45-9B7F-C41E61E0844E}"/>
    <cellStyle name="Normal 4 6 2 3 2 2 2" xfId="8991" xr:uid="{2C153DCE-C35A-4556-AA4F-DE6E9E1DAF58}"/>
    <cellStyle name="Normal 4 6 2 3 2 3" xfId="6846" xr:uid="{E8A2115B-70BC-4533-B559-815A72B34B09}"/>
    <cellStyle name="Normal 4 6 2 3 2 4" xfId="2544" xr:uid="{29831F29-5A19-40E7-A528-63A31C6F5362}"/>
    <cellStyle name="Normal 4 6 2 3 2 5" xfId="1715" xr:uid="{BA895F50-0E88-4443-B7AB-594F4D82E097}"/>
    <cellStyle name="Normal 4 6 2 3 2 6" xfId="11081" xr:uid="{B63F4DE5-CBAF-4A6A-BF22-7C75E8A8709F}"/>
    <cellStyle name="Normal 4 6 2 3 3" xfId="2957" xr:uid="{18D3B978-5396-4400-ADC6-D53BBC4781BD}"/>
    <cellStyle name="Normal 4 6 2 3 3 2" xfId="5186" xr:uid="{A3664D01-EA9E-44B4-8A81-4FAAA4AF779C}"/>
    <cellStyle name="Normal 4 6 2 3 3 2 2" xfId="9404" xr:uid="{AF78CFBB-0889-4F84-8B26-FBFDF50F7826}"/>
    <cellStyle name="Normal 4 6 2 3 3 3" xfId="7259" xr:uid="{DE11408D-BBF3-4F3B-BCF5-739D56B71191}"/>
    <cellStyle name="Normal 4 6 2 3 4" xfId="3370" xr:uid="{3954131E-5BCB-4D45-A5A9-AB205DB1CB0B}"/>
    <cellStyle name="Normal 4 6 2 3 4 2" xfId="5599" xr:uid="{6883CE45-D4EF-4D1F-AB02-B9309112B69F}"/>
    <cellStyle name="Normal 4 6 2 3 4 2 2" xfId="9817" xr:uid="{AB942260-5FDC-4C9C-B42C-15C3DE011783}"/>
    <cellStyle name="Normal 4 6 2 3 4 3" xfId="7672" xr:uid="{11E3C8E9-A887-4B3D-9A68-73C8E1A636E0}"/>
    <cellStyle name="Normal 4 6 2 3 5" xfId="3783" xr:uid="{69545031-9E4D-4567-B663-F9FB23F3F195}"/>
    <cellStyle name="Normal 4 6 2 3 5 2" xfId="6012" xr:uid="{C20D065D-E021-443D-A013-E74483DE2352}"/>
    <cellStyle name="Normal 4 6 2 3 5 2 2" xfId="10230" xr:uid="{7B5606EC-756C-41C3-A009-E6560874EAED}"/>
    <cellStyle name="Normal 4 6 2 3 5 3" xfId="8085" xr:uid="{4233149D-9D5B-46B9-BBD7-33DB1094C769}"/>
    <cellStyle name="Normal 4 6 2 3 6" xfId="4219" xr:uid="{0EEB1085-2BEE-4CA3-9BC1-9B17BA663D0A}"/>
    <cellStyle name="Normal 4 6 2 3 6 2" xfId="8498" xr:uid="{089FD11E-23C8-4649-A110-5B5D0BB20458}"/>
    <cellStyle name="Normal 4 6 2 3 7" xfId="6433" xr:uid="{DCCBA170-11FB-4585-A098-DEB6EE8B4928}"/>
    <cellStyle name="Normal 4 6 2 3 8" xfId="2129" xr:uid="{882FE882-D0E6-4B43-8B0C-CD7FD200BA07}"/>
    <cellStyle name="Normal 4 6 2 3 9" xfId="1299" xr:uid="{6036A824-1F91-4F14-B416-39DC036787CD}"/>
    <cellStyle name="Normal 4 6 2 4" xfId="878" xr:uid="{00000000-0005-0000-0000-0000C4020000}"/>
    <cellStyle name="Normal 4 6 2 4 2" xfId="4770" xr:uid="{5F16CD1D-EAA3-4471-B500-A14D8C0B506A}"/>
    <cellStyle name="Normal 4 6 2 4 2 2" xfId="8988" xr:uid="{3D1B9C45-C15A-42FB-8AE4-4F05A152C408}"/>
    <cellStyle name="Normal 4 6 2 4 3" xfId="6843" xr:uid="{209A7B04-0A7C-4727-BB7D-23D530171E2D}"/>
    <cellStyle name="Normal 4 6 2 4 4" xfId="2541" xr:uid="{3BA79866-C5D9-4F0E-87F9-00BDD691948A}"/>
    <cellStyle name="Normal 4 6 2 4 5" xfId="1712" xr:uid="{5F843FAA-A3FF-47C0-8EB1-BBD2975187F5}"/>
    <cellStyle name="Normal 4 6 2 4 6" xfId="11078" xr:uid="{ACC67745-F520-4FC7-92AE-1F07330E1B82}"/>
    <cellStyle name="Normal 4 6 2 5" xfId="2954" xr:uid="{FAC13268-D249-473D-A8E2-717CBB274554}"/>
    <cellStyle name="Normal 4 6 2 5 2" xfId="5183" xr:uid="{6C54D492-2A4A-4D62-85A1-40A70511C8D5}"/>
    <cellStyle name="Normal 4 6 2 5 2 2" xfId="9401" xr:uid="{62C94C1D-27F1-4C07-8CC7-0FD69856A5DC}"/>
    <cellStyle name="Normal 4 6 2 5 3" xfId="7256" xr:uid="{2017874D-6A49-463E-A489-B2D9489DCF2F}"/>
    <cellStyle name="Normal 4 6 2 6" xfId="3367" xr:uid="{4C14162C-B0B0-48AF-98FE-B464FF76D43A}"/>
    <cellStyle name="Normal 4 6 2 6 2" xfId="5596" xr:uid="{7C4262FE-C803-451C-A92A-E89FEF331E92}"/>
    <cellStyle name="Normal 4 6 2 6 2 2" xfId="9814" xr:uid="{9CC64D2D-E251-47CE-84BB-EBCE4088E3F4}"/>
    <cellStyle name="Normal 4 6 2 6 3" xfId="7669" xr:uid="{C139A0E1-4A3D-4B87-8C1B-3F0DE5F066C9}"/>
    <cellStyle name="Normal 4 6 2 7" xfId="3780" xr:uid="{3AEEFBB3-81D0-4D0A-A132-48664A0AAA08}"/>
    <cellStyle name="Normal 4 6 2 7 2" xfId="6009" xr:uid="{A1B5642F-614A-41B9-BED8-44BCC5748811}"/>
    <cellStyle name="Normal 4 6 2 7 2 2" xfId="10227" xr:uid="{9A33A3A2-3728-4330-AF65-AA6DFC39FBC6}"/>
    <cellStyle name="Normal 4 6 2 7 3" xfId="8082" xr:uid="{C49DA0AF-8CB8-45AA-A396-EE37E4C08F76}"/>
    <cellStyle name="Normal 4 6 2 8" xfId="4216" xr:uid="{49107D40-FE91-485B-9FC3-6A69FA11604F}"/>
    <cellStyle name="Normal 4 6 2 8 2" xfId="8495" xr:uid="{EA51503C-B063-4388-A47C-4D7912C8629D}"/>
    <cellStyle name="Normal 4 6 2 9" xfId="6430" xr:uid="{5C1E594C-B47D-4457-BA17-450F89EBBA08}"/>
    <cellStyle name="Normal 4 6 3" xfId="403" xr:uid="{00000000-0005-0000-0000-0000C5020000}"/>
    <cellStyle name="Normal 4 6 3 10" xfId="1300" xr:uid="{A0FF2437-120D-4557-A9AD-72081901BD0D}"/>
    <cellStyle name="Normal 4 6 3 11" xfId="10666" xr:uid="{C22A8CF9-248C-4B70-B23F-9CC50ED6DE87}"/>
    <cellStyle name="Normal 4 6 3 2" xfId="404" xr:uid="{00000000-0005-0000-0000-0000C6020000}"/>
    <cellStyle name="Normal 4 6 3 2 10" xfId="10667" xr:uid="{314CC874-D755-4A3E-BA14-EC90B23428E2}"/>
    <cellStyle name="Normal 4 6 3 2 2" xfId="883" xr:uid="{00000000-0005-0000-0000-0000C7020000}"/>
    <cellStyle name="Normal 4 6 3 2 2 2" xfId="4775" xr:uid="{CD423891-2EB9-4AF6-88B3-60D30D3522E3}"/>
    <cellStyle name="Normal 4 6 3 2 2 2 2" xfId="8993" xr:uid="{5E92028A-41A1-46B9-A293-01F3940B6890}"/>
    <cellStyle name="Normal 4 6 3 2 2 3" xfId="6848" xr:uid="{050C6DE2-9B0A-4425-8768-A48E7A1B4FB1}"/>
    <cellStyle name="Normal 4 6 3 2 2 4" xfId="2546" xr:uid="{363ACCF9-FB1E-4746-AEDB-ED5A79B72EA3}"/>
    <cellStyle name="Normal 4 6 3 2 2 5" xfId="1717" xr:uid="{16A1E70A-C62F-41DE-B79B-07396821AFB4}"/>
    <cellStyle name="Normal 4 6 3 2 2 6" xfId="11083" xr:uid="{D9FB97C8-94F7-4891-AF7D-BA5686C77527}"/>
    <cellStyle name="Normal 4 6 3 2 3" xfId="2959" xr:uid="{78FEB268-1B70-40F9-BD55-DAEA123598E1}"/>
    <cellStyle name="Normal 4 6 3 2 3 2" xfId="5188" xr:uid="{8419AEC8-3881-465E-8A1F-D71093A13831}"/>
    <cellStyle name="Normal 4 6 3 2 3 2 2" xfId="9406" xr:uid="{039C5855-51EE-41EE-BC69-2880C0501531}"/>
    <cellStyle name="Normal 4 6 3 2 3 3" xfId="7261" xr:uid="{FEF2FA29-2E7E-4695-B7A0-4A6CA803B6E6}"/>
    <cellStyle name="Normal 4 6 3 2 4" xfId="3372" xr:uid="{F28A6805-87A6-46F4-88DA-1043296F470D}"/>
    <cellStyle name="Normal 4 6 3 2 4 2" xfId="5601" xr:uid="{F53ABCB5-6E59-4497-A028-BFC5EFBC4C1B}"/>
    <cellStyle name="Normal 4 6 3 2 4 2 2" xfId="9819" xr:uid="{2CF82117-4D09-4228-956B-B2CA2FC4824A}"/>
    <cellStyle name="Normal 4 6 3 2 4 3" xfId="7674" xr:uid="{BB3E86D6-D8F8-4808-A321-BEA4985F041F}"/>
    <cellStyle name="Normal 4 6 3 2 5" xfId="3785" xr:uid="{9F2B9BE8-C587-402A-BFAC-C20B5CF7B987}"/>
    <cellStyle name="Normal 4 6 3 2 5 2" xfId="6014" xr:uid="{CEBBCF74-A493-4A92-8206-C355B017078F}"/>
    <cellStyle name="Normal 4 6 3 2 5 2 2" xfId="10232" xr:uid="{B60B1117-23F4-4202-BC58-85EB41609132}"/>
    <cellStyle name="Normal 4 6 3 2 5 3" xfId="8087" xr:uid="{61670DA7-A1AE-442A-932D-E610C8A8BFF5}"/>
    <cellStyle name="Normal 4 6 3 2 6" xfId="4221" xr:uid="{920CE3F6-17F7-4D59-A696-555DEAEBAB0C}"/>
    <cellStyle name="Normal 4 6 3 2 6 2" xfId="8500" xr:uid="{48219E00-7EAA-40EF-A861-DEB9DEA1FCE6}"/>
    <cellStyle name="Normal 4 6 3 2 7" xfId="6435" xr:uid="{B1E7BC5F-3005-4152-AA89-E0AD0F7EE0EB}"/>
    <cellStyle name="Normal 4 6 3 2 8" xfId="2131" xr:uid="{D2E78405-DCFF-465D-AC8C-DF663B60F7FC}"/>
    <cellStyle name="Normal 4 6 3 2 9" xfId="1301" xr:uid="{476BB085-2561-45FE-8768-4DCE95C0B65E}"/>
    <cellStyle name="Normal 4 6 3 3" xfId="882" xr:uid="{00000000-0005-0000-0000-0000C8020000}"/>
    <cellStyle name="Normal 4 6 3 3 2" xfId="4774" xr:uid="{705CB97E-871A-462A-9750-060BAA933258}"/>
    <cellStyle name="Normal 4 6 3 3 2 2" xfId="8992" xr:uid="{02D5D7F7-A4C0-4787-B821-EFB14665B04D}"/>
    <cellStyle name="Normal 4 6 3 3 3" xfId="6847" xr:uid="{02DFF56D-15D3-4D48-A2CE-731E5E5AF85B}"/>
    <cellStyle name="Normal 4 6 3 3 4" xfId="2545" xr:uid="{8479E1FB-C2B8-49D7-BE07-30F523423AEE}"/>
    <cellStyle name="Normal 4 6 3 3 5" xfId="1716" xr:uid="{771B88B9-0387-4167-B9C6-E67D0F193255}"/>
    <cellStyle name="Normal 4 6 3 3 6" xfId="11082" xr:uid="{B20A9572-5BEF-4FBE-922B-2496DA4759A3}"/>
    <cellStyle name="Normal 4 6 3 4" xfId="2958" xr:uid="{F1520D85-AAD0-46BD-85EE-DB2E033602ED}"/>
    <cellStyle name="Normal 4 6 3 4 2" xfId="5187" xr:uid="{607915C9-6C2F-435F-8E6C-8392D03DC581}"/>
    <cellStyle name="Normal 4 6 3 4 2 2" xfId="9405" xr:uid="{A2E7848E-3F1A-4106-98DE-6D2E1CEBE047}"/>
    <cellStyle name="Normal 4 6 3 4 3" xfId="7260" xr:uid="{D6AF2416-7D21-4267-A3C3-C901E40E5D40}"/>
    <cellStyle name="Normal 4 6 3 5" xfId="3371" xr:uid="{9C88E76E-FB29-44D4-910F-28CA2370E16E}"/>
    <cellStyle name="Normal 4 6 3 5 2" xfId="5600" xr:uid="{58445713-8C5B-4203-BF75-45D4C724C215}"/>
    <cellStyle name="Normal 4 6 3 5 2 2" xfId="9818" xr:uid="{7013AA27-7AF6-440C-99F2-7FFE413D67C9}"/>
    <cellStyle name="Normal 4 6 3 5 3" xfId="7673" xr:uid="{22EC4650-862C-472D-BCEC-70CE85EF2132}"/>
    <cellStyle name="Normal 4 6 3 6" xfId="3784" xr:uid="{888103A4-BC2D-4FD0-AD82-38715B490FB0}"/>
    <cellStyle name="Normal 4 6 3 6 2" xfId="6013" xr:uid="{F2CD35AF-2EE0-42AB-99EC-2EAB7F8C5FCA}"/>
    <cellStyle name="Normal 4 6 3 6 2 2" xfId="10231" xr:uid="{B7A2294E-B37F-41E6-8FE4-A553F0323EB6}"/>
    <cellStyle name="Normal 4 6 3 6 3" xfId="8086" xr:uid="{35EB5494-F641-4308-8C0F-9AC4264417AC}"/>
    <cellStyle name="Normal 4 6 3 7" xfId="4220" xr:uid="{EB8E0037-54AF-4B4E-BA18-39127B37FF65}"/>
    <cellStyle name="Normal 4 6 3 7 2" xfId="8499" xr:uid="{B8032E17-6C85-4056-BB45-B6573B5D5A74}"/>
    <cellStyle name="Normal 4 6 3 8" xfId="6434" xr:uid="{F705CC8B-CC95-448B-BD8A-346FEB62ACE4}"/>
    <cellStyle name="Normal 4 6 3 9" xfId="2130" xr:uid="{34E54C0A-25F2-4090-B799-70541FE8967D}"/>
    <cellStyle name="Normal 4 6 4" xfId="405" xr:uid="{00000000-0005-0000-0000-0000C9020000}"/>
    <cellStyle name="Normal 4 6 4 10" xfId="10668" xr:uid="{366117EF-BD40-4369-A97B-88A03B7A1B91}"/>
    <cellStyle name="Normal 4 6 4 2" xfId="884" xr:uid="{00000000-0005-0000-0000-0000CA020000}"/>
    <cellStyle name="Normal 4 6 4 2 2" xfId="4776" xr:uid="{1C667438-1DB1-474B-8F3C-A60A8839FBEC}"/>
    <cellStyle name="Normal 4 6 4 2 2 2" xfId="8994" xr:uid="{75582AE0-91BA-4C19-9097-DDDA939DEE2B}"/>
    <cellStyle name="Normal 4 6 4 2 3" xfId="6849" xr:uid="{A9C636D8-2B52-46E1-9AB5-0442FF8497E4}"/>
    <cellStyle name="Normal 4 6 4 2 4" xfId="2547" xr:uid="{9542789F-000F-466C-9707-4109A116589B}"/>
    <cellStyle name="Normal 4 6 4 2 5" xfId="1718" xr:uid="{FF1705BE-ADB7-492B-82A4-07B34069DF5C}"/>
    <cellStyle name="Normal 4 6 4 2 6" xfId="11084" xr:uid="{C500436D-B01A-455A-ABDD-69AE0A7D7A20}"/>
    <cellStyle name="Normal 4 6 4 3" xfId="2960" xr:uid="{F9E97B25-C445-49ED-A822-1D088ECA8D50}"/>
    <cellStyle name="Normal 4 6 4 3 2" xfId="5189" xr:uid="{FFFE5BF5-F2B6-4F08-BF17-EDE0FB6629DF}"/>
    <cellStyle name="Normal 4 6 4 3 2 2" xfId="9407" xr:uid="{D113CE08-3AB2-413F-BB53-D0B87FFB4C03}"/>
    <cellStyle name="Normal 4 6 4 3 3" xfId="7262" xr:uid="{1230AB60-4D69-4269-B5A8-D90A26A1431B}"/>
    <cellStyle name="Normal 4 6 4 4" xfId="3373" xr:uid="{5B95FE1F-365B-48DF-8F56-805F879B8038}"/>
    <cellStyle name="Normal 4 6 4 4 2" xfId="5602" xr:uid="{823BBCD5-E498-4413-B336-9A73729F432E}"/>
    <cellStyle name="Normal 4 6 4 4 2 2" xfId="9820" xr:uid="{50BD509A-0DBB-4EEB-9313-118210610866}"/>
    <cellStyle name="Normal 4 6 4 4 3" xfId="7675" xr:uid="{C20233BF-D586-4743-8340-E6077456AE53}"/>
    <cellStyle name="Normal 4 6 4 5" xfId="3786" xr:uid="{6A1C9F11-E8C5-48D9-9516-FDF7EBFA5E0F}"/>
    <cellStyle name="Normal 4 6 4 5 2" xfId="6015" xr:uid="{3371AB14-D6E1-487B-B292-4436E718A0B9}"/>
    <cellStyle name="Normal 4 6 4 5 2 2" xfId="10233" xr:uid="{B0F2C072-58EE-458F-B507-EA6716BC1DE2}"/>
    <cellStyle name="Normal 4 6 4 5 3" xfId="8088" xr:uid="{985F5BFC-11A1-4068-A99A-90B63D347A47}"/>
    <cellStyle name="Normal 4 6 4 6" xfId="4222" xr:uid="{F579DFA3-D2BB-4E31-8C7E-2F67AF99A549}"/>
    <cellStyle name="Normal 4 6 4 6 2" xfId="8501" xr:uid="{4F8381A1-AA30-46F5-924C-52F68BA17B8E}"/>
    <cellStyle name="Normal 4 6 4 7" xfId="6436" xr:uid="{50CD4CA9-CE9F-4E49-B22F-64DD08A394B0}"/>
    <cellStyle name="Normal 4 6 4 8" xfId="2132" xr:uid="{26515FE3-FCE0-4588-9F52-2EDD95DDCCF5}"/>
    <cellStyle name="Normal 4 6 4 9" xfId="1302" xr:uid="{B6BF5197-154C-4B31-88C1-6629FE318260}"/>
    <cellStyle name="Normal 4 6 5" xfId="877" xr:uid="{00000000-0005-0000-0000-0000CB020000}"/>
    <cellStyle name="Normal 4 6 5 2" xfId="4769" xr:uid="{146A0D57-206C-425C-B241-7DB4F1EAD754}"/>
    <cellStyle name="Normal 4 6 5 2 2" xfId="8987" xr:uid="{4C0C70EA-37B3-4252-9F0F-A1E8756350A8}"/>
    <cellStyle name="Normal 4 6 5 3" xfId="6842" xr:uid="{8FAE3CFD-38DB-45CF-8234-3B5956FC6A3D}"/>
    <cellStyle name="Normal 4 6 5 4" xfId="2540" xr:uid="{EFB8F022-40C8-490C-BCFA-7E07915CA99E}"/>
    <cellStyle name="Normal 4 6 5 5" xfId="1711" xr:uid="{C9A75864-E0C1-4336-AB7B-8171786EC3B1}"/>
    <cellStyle name="Normal 4 6 5 6" xfId="11077" xr:uid="{9E26DC41-CF54-4F43-922C-CB4D45E92D45}"/>
    <cellStyle name="Normal 4 6 6" xfId="2953" xr:uid="{14D30500-BBAE-4F17-A2D9-415208FF3F4C}"/>
    <cellStyle name="Normal 4 6 6 2" xfId="5182" xr:uid="{57F311EB-94B8-4804-B56D-71DEA22E0118}"/>
    <cellStyle name="Normal 4 6 6 2 2" xfId="9400" xr:uid="{FC98D49B-4451-4EB0-A074-5BFD3F60D6BC}"/>
    <cellStyle name="Normal 4 6 6 3" xfId="7255" xr:uid="{030134CF-87B0-4E44-9D91-351017E40CC3}"/>
    <cellStyle name="Normal 4 6 7" xfId="3366" xr:uid="{94AB710A-B577-4527-9B37-89021C6ED434}"/>
    <cellStyle name="Normal 4 6 7 2" xfId="5595" xr:uid="{606F3E8D-6B07-4505-AB05-D058032F1CA2}"/>
    <cellStyle name="Normal 4 6 7 2 2" xfId="9813" xr:uid="{2E84F098-4FF1-493E-AF3F-A989F3057BDD}"/>
    <cellStyle name="Normal 4 6 7 3" xfId="7668" xr:uid="{A5F5EE6F-5252-4464-870C-B46CC80B2FF5}"/>
    <cellStyle name="Normal 4 6 8" xfId="3779" xr:uid="{274D78FE-AE63-48D7-8219-5B0A06E2BE94}"/>
    <cellStyle name="Normal 4 6 8 2" xfId="6008" xr:uid="{6988039D-C00A-442B-B355-66D3CC540086}"/>
    <cellStyle name="Normal 4 6 8 2 2" xfId="10226" xr:uid="{3D2FBD23-5E5F-46EE-B0C8-80C950C79895}"/>
    <cellStyle name="Normal 4 6 8 3" xfId="8081" xr:uid="{BDA76C5A-8E65-4E77-8937-DE38FA19B3E3}"/>
    <cellStyle name="Normal 4 6 9" xfId="4215" xr:uid="{540325EB-C983-405F-A581-DAA06949BCEA}"/>
    <cellStyle name="Normal 4 6 9 2" xfId="8494" xr:uid="{9325D615-26B4-4A4F-8AA1-DCD619D34335}"/>
    <cellStyle name="Normal 4 7" xfId="406" xr:uid="{00000000-0005-0000-0000-0000CC020000}"/>
    <cellStyle name="Normal 4 7 10" xfId="1303" xr:uid="{3E4EF2B6-92CA-4844-AB50-1C07B3602A2F}"/>
    <cellStyle name="Normal 4 7 11" xfId="10669" xr:uid="{32846668-AA4F-466A-A412-71A420FE50A1}"/>
    <cellStyle name="Normal 4 7 2" xfId="407" xr:uid="{00000000-0005-0000-0000-0000CD020000}"/>
    <cellStyle name="Normal 4 7 2 10" xfId="10670" xr:uid="{DF2C5E8E-5333-4946-B0BF-974218ABF421}"/>
    <cellStyle name="Normal 4 7 2 2" xfId="886" xr:uid="{00000000-0005-0000-0000-0000CE020000}"/>
    <cellStyle name="Normal 4 7 2 2 2" xfId="4778" xr:uid="{42CBFD98-433C-4BF1-B7B4-8EEC601AB255}"/>
    <cellStyle name="Normal 4 7 2 2 2 2" xfId="8996" xr:uid="{862BA237-2FBE-478C-B3BC-C56F335A7DCD}"/>
    <cellStyle name="Normal 4 7 2 2 3" xfId="6851" xr:uid="{7CB54B3D-72DC-44F7-AA4E-3E496D63EBC7}"/>
    <cellStyle name="Normal 4 7 2 2 4" xfId="2549" xr:uid="{B5737D4F-EA97-4218-B962-C2B0E547DADD}"/>
    <cellStyle name="Normal 4 7 2 2 5" xfId="1720" xr:uid="{9532D162-F70A-41F1-9CA6-EDF45D5BDC05}"/>
    <cellStyle name="Normal 4 7 2 2 6" xfId="11086" xr:uid="{CCD65661-0B9C-4F21-82FA-2D8A8A13397A}"/>
    <cellStyle name="Normal 4 7 2 3" xfId="2962" xr:uid="{F30AE0C3-E7C3-4B09-AF1E-D9294F28C067}"/>
    <cellStyle name="Normal 4 7 2 3 2" xfId="5191" xr:uid="{E6F2A29D-8248-4389-8421-2484EB841D71}"/>
    <cellStyle name="Normal 4 7 2 3 2 2" xfId="9409" xr:uid="{BF69A77F-8159-4575-8209-C590B5F0F655}"/>
    <cellStyle name="Normal 4 7 2 3 3" xfId="7264" xr:uid="{1DA661AC-1793-48EF-8294-B70430469485}"/>
    <cellStyle name="Normal 4 7 2 4" xfId="3375" xr:uid="{D334F72B-4A46-424D-9F16-19A421800666}"/>
    <cellStyle name="Normal 4 7 2 4 2" xfId="5604" xr:uid="{63C77740-6F2B-40C0-A1BD-D5F6FFE53775}"/>
    <cellStyle name="Normal 4 7 2 4 2 2" xfId="9822" xr:uid="{75760F71-A9BC-4215-936B-8449EEB1B7DA}"/>
    <cellStyle name="Normal 4 7 2 4 3" xfId="7677" xr:uid="{2EC02343-654E-40E4-97B2-E127B9BB46CE}"/>
    <cellStyle name="Normal 4 7 2 5" xfId="3788" xr:uid="{60A41CD0-0CFD-4DD4-9017-6945C81C574D}"/>
    <cellStyle name="Normal 4 7 2 5 2" xfId="6017" xr:uid="{5BD0E213-CFA2-4B81-B182-8D9363C46507}"/>
    <cellStyle name="Normal 4 7 2 5 2 2" xfId="10235" xr:uid="{E4F7CD80-8667-4B36-8193-9FC57D5B5F9C}"/>
    <cellStyle name="Normal 4 7 2 5 3" xfId="8090" xr:uid="{C1E632D0-4852-4A5A-8709-4968E69664C2}"/>
    <cellStyle name="Normal 4 7 2 6" xfId="4224" xr:uid="{0F0D6827-ACC3-45BD-9A55-54BB90CCEC03}"/>
    <cellStyle name="Normal 4 7 2 6 2" xfId="8503" xr:uid="{EAEE3769-3541-46BE-951C-56FA7F489D55}"/>
    <cellStyle name="Normal 4 7 2 7" xfId="6438" xr:uid="{7D42CB8C-EE25-402E-B041-75CEDBD147BF}"/>
    <cellStyle name="Normal 4 7 2 8" xfId="2134" xr:uid="{935F3D8C-22F8-48A4-AED9-5E93B14B117B}"/>
    <cellStyle name="Normal 4 7 2 9" xfId="1304" xr:uid="{2023FF7E-54A4-46D0-AE63-51BF7EBD709E}"/>
    <cellStyle name="Normal 4 7 3" xfId="885" xr:uid="{00000000-0005-0000-0000-0000CF020000}"/>
    <cellStyle name="Normal 4 7 3 2" xfId="4777" xr:uid="{D005181B-2CD1-48DE-AD66-79E6E7B22FC0}"/>
    <cellStyle name="Normal 4 7 3 2 2" xfId="8995" xr:uid="{DAE373CA-458C-421A-B8B4-A2B3603A26C3}"/>
    <cellStyle name="Normal 4 7 3 3" xfId="6850" xr:uid="{9CAF004E-E433-4298-A106-14C6CEDEBBB7}"/>
    <cellStyle name="Normal 4 7 3 4" xfId="2548" xr:uid="{52AA3587-9E6E-4015-80BA-E7116E50988A}"/>
    <cellStyle name="Normal 4 7 3 5" xfId="1719" xr:uid="{DBF46C16-8645-4B12-89DB-8208E8DAD513}"/>
    <cellStyle name="Normal 4 7 3 6" xfId="11085" xr:uid="{B4B9FFF8-5149-4C61-8E73-84A0CE17CD07}"/>
    <cellStyle name="Normal 4 7 4" xfId="2961" xr:uid="{1954DE1D-D97B-4C3D-AB26-C06923D05023}"/>
    <cellStyle name="Normal 4 7 4 2" xfId="5190" xr:uid="{2BB1EEEC-9EE8-4037-8811-C34564EC7B8A}"/>
    <cellStyle name="Normal 4 7 4 2 2" xfId="9408" xr:uid="{33E10CC7-08F1-41A8-82E1-236569CA55E1}"/>
    <cellStyle name="Normal 4 7 4 3" xfId="7263" xr:uid="{2EDAF4FF-0294-43B1-B438-21E67B128B95}"/>
    <cellStyle name="Normal 4 7 5" xfId="3374" xr:uid="{43582C70-9C21-4324-8F52-D732962AE45E}"/>
    <cellStyle name="Normal 4 7 5 2" xfId="5603" xr:uid="{A370D55C-F3DC-4DE0-B0AF-36C3EFFF0B11}"/>
    <cellStyle name="Normal 4 7 5 2 2" xfId="9821" xr:uid="{DE6041F1-009A-4417-9311-43A99CAF4BE4}"/>
    <cellStyle name="Normal 4 7 5 3" xfId="7676" xr:uid="{5920F6A2-AAD9-4AD5-AEF3-F89322A2254C}"/>
    <cellStyle name="Normal 4 7 6" xfId="3787" xr:uid="{B740ECB1-833D-4A02-A879-CD254323BAFB}"/>
    <cellStyle name="Normal 4 7 6 2" xfId="6016" xr:uid="{CF44B323-A9E2-497A-B365-6A90E165E3E1}"/>
    <cellStyle name="Normal 4 7 6 2 2" xfId="10234" xr:uid="{8B001C2E-4DBF-4EDD-9738-3D1059C6F118}"/>
    <cellStyle name="Normal 4 7 6 3" xfId="8089" xr:uid="{98C24FFA-BFE4-41C7-BE66-2390F3A106A2}"/>
    <cellStyle name="Normal 4 7 7" xfId="4223" xr:uid="{E4066090-6C2B-480E-8326-2B1D642C0018}"/>
    <cellStyle name="Normal 4 7 7 2" xfId="8502" xr:uid="{054E6754-7F53-44FD-A132-0894B26D8078}"/>
    <cellStyle name="Normal 4 7 8" xfId="6437" xr:uid="{B21977C6-350E-45A9-8D39-FB47CB6A590B}"/>
    <cellStyle name="Normal 4 7 9" xfId="2133" xr:uid="{492DAE6C-0F47-48D4-B6BE-9FCE3A4C84AB}"/>
    <cellStyle name="Normal 4 8" xfId="408" xr:uid="{00000000-0005-0000-0000-0000D0020000}"/>
    <cellStyle name="Normal 4 8 10" xfId="10671" xr:uid="{860F739E-84FB-4F19-BD3B-49EF36F41AB2}"/>
    <cellStyle name="Normal 4 8 2" xfId="887" xr:uid="{00000000-0005-0000-0000-0000D1020000}"/>
    <cellStyle name="Normal 4 8 2 2" xfId="4779" xr:uid="{DE2CDE35-E4EC-49E6-B21C-50CB38B901AA}"/>
    <cellStyle name="Normal 4 8 2 2 2" xfId="8997" xr:uid="{E9898452-DEE7-483F-B2B9-1CDC759D04BD}"/>
    <cellStyle name="Normal 4 8 2 3" xfId="6852" xr:uid="{06426828-AA01-4508-B7F2-3D6CE18DC4DD}"/>
    <cellStyle name="Normal 4 8 2 4" xfId="2550" xr:uid="{0710FC40-CBDA-48CE-B42A-89B6DFC8FA29}"/>
    <cellStyle name="Normal 4 8 2 5" xfId="1721" xr:uid="{937E412B-E1AD-4CCB-ACFA-5DB19566ECFD}"/>
    <cellStyle name="Normal 4 8 2 6" xfId="11087" xr:uid="{8D161E6B-8084-4B15-8CB2-0C20542CEF5D}"/>
    <cellStyle name="Normal 4 8 3" xfId="2963" xr:uid="{FD1A28E8-7356-43DA-AEC6-3F99B3AB6549}"/>
    <cellStyle name="Normal 4 8 3 2" xfId="5192" xr:uid="{2C6D0B37-2395-42BC-9934-3E2333B0DE8A}"/>
    <cellStyle name="Normal 4 8 3 2 2" xfId="9410" xr:uid="{20FBA7A5-3DDF-485A-972A-A7BFF74CAE36}"/>
    <cellStyle name="Normal 4 8 3 3" xfId="7265" xr:uid="{B460CFF9-02D8-4499-B71D-B168A27506CB}"/>
    <cellStyle name="Normal 4 8 4" xfId="3376" xr:uid="{318531C2-E5A3-4B9E-BEFB-4B50266858AF}"/>
    <cellStyle name="Normal 4 8 4 2" xfId="5605" xr:uid="{A9FDA59F-1742-44E5-AD3C-128275389AD0}"/>
    <cellStyle name="Normal 4 8 4 2 2" xfId="9823" xr:uid="{FCA85011-4047-462A-B86D-2186C3D5E7A1}"/>
    <cellStyle name="Normal 4 8 4 3" xfId="7678" xr:uid="{0DDFBA4F-C299-4E7D-9FA5-3B2C779101CA}"/>
    <cellStyle name="Normal 4 8 5" xfId="3789" xr:uid="{C6EE3494-6D00-45B1-B75D-5F20ADF6E4C2}"/>
    <cellStyle name="Normal 4 8 5 2" xfId="6018" xr:uid="{A2A773D0-D360-46BA-A086-02709FBDAF79}"/>
    <cellStyle name="Normal 4 8 5 2 2" xfId="10236" xr:uid="{ED13763D-6BE3-4896-B173-431F65C2F47E}"/>
    <cellStyle name="Normal 4 8 5 3" xfId="8091" xr:uid="{34E54098-67CF-405D-9F28-47882216384D}"/>
    <cellStyle name="Normal 4 8 6" xfId="4225" xr:uid="{1F6ED5DE-673E-47F9-B8A0-07F9AB105C3E}"/>
    <cellStyle name="Normal 4 8 6 2" xfId="8504" xr:uid="{10AF8264-5ED6-4A56-A06E-6757152073C8}"/>
    <cellStyle name="Normal 4 8 7" xfId="6439" xr:uid="{9E8F26BA-BD46-4CCC-B53D-1ABD01BEB1E9}"/>
    <cellStyle name="Normal 4 8 8" xfId="2135" xr:uid="{FA149A38-92A5-499B-9897-B9E98BAC02DE}"/>
    <cellStyle name="Normal 4 8 9" xfId="1305" xr:uid="{07F0D24F-9D3B-4319-8228-9400838BC811}"/>
    <cellStyle name="Normal 4 9" xfId="6376" xr:uid="{43830865-6352-4FC9-A8CE-A3331D7BC647}"/>
    <cellStyle name="Normal 5" xfId="409" xr:uid="{00000000-0005-0000-0000-0000D2020000}"/>
    <cellStyle name="Normal 5 10" xfId="3377" xr:uid="{B112DCB8-0B67-46BF-A1CB-94941834B192}"/>
    <cellStyle name="Normal 5 10 2" xfId="5606" xr:uid="{A7848936-54C7-48F9-800D-3EDC97EACD40}"/>
    <cellStyle name="Normal 5 10 2 2" xfId="9824" xr:uid="{8A1963C1-17B2-49EF-9BA1-55B454E8D130}"/>
    <cellStyle name="Normal 5 10 3" xfId="7679" xr:uid="{1028DB61-55E4-43EE-BA70-96DE663C629C}"/>
    <cellStyle name="Normal 5 11" xfId="3790" xr:uid="{705A05FA-A4F6-41A1-9AE5-664F8D680211}"/>
    <cellStyle name="Normal 5 11 2" xfId="6019" xr:uid="{AFFBB408-C0D5-4B75-9D8A-5B6084421310}"/>
    <cellStyle name="Normal 5 11 2 2" xfId="10237" xr:uid="{D5CA4A57-3C54-4513-AD29-7AD4D7A86FF6}"/>
    <cellStyle name="Normal 5 11 3" xfId="8092" xr:uid="{25470C96-4434-4978-961F-1D56BC4901A3}"/>
    <cellStyle name="Normal 5 12" xfId="4226" xr:uid="{BDB8A472-3536-422C-ACAC-F1DF498C40E9}"/>
    <cellStyle name="Normal 5 12 2" xfId="8505" xr:uid="{999008A7-AE8E-4008-A59F-77EC285ECAF8}"/>
    <cellStyle name="Normal 5 13" xfId="6440" xr:uid="{78B3FB89-6D5C-41F5-8182-87936E64B8F7}"/>
    <cellStyle name="Normal 5 14" xfId="2136" xr:uid="{0005A8C5-507C-42EA-A643-AD4CC1A54D28}"/>
    <cellStyle name="Normal 5 15" xfId="1306" xr:uid="{DD4DAB21-B593-42D3-B2CE-BBE860396D1C}"/>
    <cellStyle name="Normal 5 16" xfId="10672" xr:uid="{D6098034-8E48-485E-94B6-4813A97F486B}"/>
    <cellStyle name="Normal 5 2" xfId="410" xr:uid="{00000000-0005-0000-0000-0000D3020000}"/>
    <cellStyle name="Normal 5 2 10" xfId="3791" xr:uid="{40451B85-B85A-44F7-8EC7-CBBDEA0B8639}"/>
    <cellStyle name="Normal 5 2 10 2" xfId="6020" xr:uid="{AFE7473E-9159-4570-9414-B7EDC977CCD9}"/>
    <cellStyle name="Normal 5 2 10 2 2" xfId="10238" xr:uid="{FB325C3C-487F-4E11-ABBC-2139C9474593}"/>
    <cellStyle name="Normal 5 2 10 3" xfId="8093" xr:uid="{197F817A-4E44-47C1-9345-2FEEE2235115}"/>
    <cellStyle name="Normal 5 2 11" xfId="4227" xr:uid="{52310731-6BA2-4571-85E9-AEF3A8A6F960}"/>
    <cellStyle name="Normal 5 2 11 2" xfId="8506" xr:uid="{EDA1BE22-B0F3-4CB2-B88A-CC6E856F3635}"/>
    <cellStyle name="Normal 5 2 12" xfId="6441" xr:uid="{D3B4C737-01EA-4541-B923-31819F66706A}"/>
    <cellStyle name="Normal 5 2 13" xfId="2137" xr:uid="{43AA5B7B-7172-45C2-AC31-2089D723C177}"/>
    <cellStyle name="Normal 5 2 14" xfId="1307" xr:uid="{6B480FFA-9433-4A20-A63C-4ABACC07F809}"/>
    <cellStyle name="Normal 5 2 15" xfId="10673" xr:uid="{DDCABE8C-4709-4E1C-B43B-4B62C8E32253}"/>
    <cellStyle name="Normal 5 2 2" xfId="411" xr:uid="{00000000-0005-0000-0000-0000D4020000}"/>
    <cellStyle name="Normal 5 2 2 10" xfId="4228" xr:uid="{156533AE-5488-4071-A7FF-B8C674B92D4B}"/>
    <cellStyle name="Normal 5 2 2 10 2" xfId="8507" xr:uid="{0D756CAF-84B9-4993-BFF4-9E314114A65A}"/>
    <cellStyle name="Normal 5 2 2 11" xfId="6442" xr:uid="{9D1E66FA-3213-4F26-84D9-AB2538BA88E4}"/>
    <cellStyle name="Normal 5 2 2 12" xfId="2138" xr:uid="{69022469-DD0F-4628-BC05-12163B07BD5F}"/>
    <cellStyle name="Normal 5 2 2 13" xfId="1308" xr:uid="{F35839E8-DC94-44C9-9195-152A45BB3D7E}"/>
    <cellStyle name="Normal 5 2 2 14" xfId="10674" xr:uid="{74ABE769-9380-40E5-9856-984703A8246D}"/>
    <cellStyle name="Normal 5 2 2 2" xfId="412" xr:uid="{00000000-0005-0000-0000-0000D5020000}"/>
    <cellStyle name="Normal 5 2 2 2 10" xfId="6443" xr:uid="{9BDEC6F0-7032-4CCC-B74A-106A4C03BC0E}"/>
    <cellStyle name="Normal 5 2 2 2 11" xfId="2139" xr:uid="{87B35DAD-6FCA-4CC8-BE4B-B4017940B19D}"/>
    <cellStyle name="Normal 5 2 2 2 12" xfId="1309" xr:uid="{03E1F4ED-5FE5-47A3-9EA7-E2BD3FC93D44}"/>
    <cellStyle name="Normal 5 2 2 2 13" xfId="10675" xr:uid="{176BFA61-BB3A-4D5D-97E4-B0E0FB34085F}"/>
    <cellStyle name="Normal 5 2 2 2 2" xfId="413" xr:uid="{00000000-0005-0000-0000-0000D6020000}"/>
    <cellStyle name="Normal 5 2 2 2 2 10" xfId="2140" xr:uid="{C58ADDB3-103B-44C6-A241-CE1F881905C7}"/>
    <cellStyle name="Normal 5 2 2 2 2 11" xfId="1310" xr:uid="{DE6BB0D6-5D3F-4567-8CD0-42F0269D324D}"/>
    <cellStyle name="Normal 5 2 2 2 2 12" xfId="10676" xr:uid="{B6FA61F7-FE80-4398-89CF-FEF0E54A3C17}"/>
    <cellStyle name="Normal 5 2 2 2 2 2" xfId="414" xr:uid="{00000000-0005-0000-0000-0000D7020000}"/>
    <cellStyle name="Normal 5 2 2 2 2 2 10" xfId="1311" xr:uid="{57229DC1-2B79-448D-A140-56C3295338C6}"/>
    <cellStyle name="Normal 5 2 2 2 2 2 11" xfId="10677" xr:uid="{CBE0A0F9-0810-484E-BD04-1BB47AEC6E20}"/>
    <cellStyle name="Normal 5 2 2 2 2 2 2" xfId="415" xr:uid="{00000000-0005-0000-0000-0000D8020000}"/>
    <cellStyle name="Normal 5 2 2 2 2 2 2 10" xfId="10678" xr:uid="{17BC10D5-9BD9-40A6-91F6-0C3867517409}"/>
    <cellStyle name="Normal 5 2 2 2 2 2 2 2" xfId="894" xr:uid="{00000000-0005-0000-0000-0000D9020000}"/>
    <cellStyle name="Normal 5 2 2 2 2 2 2 2 2" xfId="4786" xr:uid="{523EA14F-B351-4334-A7A9-912B5F1063B9}"/>
    <cellStyle name="Normal 5 2 2 2 2 2 2 2 2 2" xfId="9004" xr:uid="{E2E4D54C-626E-4885-A13C-8CFFE737130E}"/>
    <cellStyle name="Normal 5 2 2 2 2 2 2 2 3" xfId="6859" xr:uid="{D84ED288-D191-4A12-8D48-83C1CCDDE0FA}"/>
    <cellStyle name="Normal 5 2 2 2 2 2 2 2 4" xfId="2557" xr:uid="{C02028C4-67C7-4859-90A0-0680BFACA9A2}"/>
    <cellStyle name="Normal 5 2 2 2 2 2 2 2 5" xfId="1728" xr:uid="{255384E9-607B-4A0F-8301-3C109EA9AF18}"/>
    <cellStyle name="Normal 5 2 2 2 2 2 2 2 6" xfId="11094" xr:uid="{9AF51E64-2522-4D7A-9C17-ADDA38C66CFD}"/>
    <cellStyle name="Normal 5 2 2 2 2 2 2 3" xfId="2970" xr:uid="{BC1E3CA2-836B-4831-9528-A09E1637576C}"/>
    <cellStyle name="Normal 5 2 2 2 2 2 2 3 2" xfId="5199" xr:uid="{B613670C-1FFE-4519-BAA1-2FDDEA6201DC}"/>
    <cellStyle name="Normal 5 2 2 2 2 2 2 3 2 2" xfId="9417" xr:uid="{0EF95320-1AEF-4A28-B941-094D50BDBD36}"/>
    <cellStyle name="Normal 5 2 2 2 2 2 2 3 3" xfId="7272" xr:uid="{B114ADFD-5ED1-4295-9A2B-86B5A3DA227A}"/>
    <cellStyle name="Normal 5 2 2 2 2 2 2 4" xfId="3383" xr:uid="{3E104493-5CB0-43C3-AFAE-055994F38BFA}"/>
    <cellStyle name="Normal 5 2 2 2 2 2 2 4 2" xfId="5612" xr:uid="{FDC44121-04A2-4A50-9BA5-E441C735CF9F}"/>
    <cellStyle name="Normal 5 2 2 2 2 2 2 4 2 2" xfId="9830" xr:uid="{05839BB0-6B5F-4A9D-B449-DA0610ABAE42}"/>
    <cellStyle name="Normal 5 2 2 2 2 2 2 4 3" xfId="7685" xr:uid="{388939E9-2CF1-4756-A7A8-97047467D0DE}"/>
    <cellStyle name="Normal 5 2 2 2 2 2 2 5" xfId="3796" xr:uid="{9A3C8CFC-DC62-47EE-875A-6CF68E206951}"/>
    <cellStyle name="Normal 5 2 2 2 2 2 2 5 2" xfId="6025" xr:uid="{02086A2C-E211-48BE-88D8-FFE1852D3E0D}"/>
    <cellStyle name="Normal 5 2 2 2 2 2 2 5 2 2" xfId="10243" xr:uid="{719F52A2-2196-409C-9849-8856BDE7CFD4}"/>
    <cellStyle name="Normal 5 2 2 2 2 2 2 5 3" xfId="8098" xr:uid="{5421633F-A086-4331-9BCD-254129266419}"/>
    <cellStyle name="Normal 5 2 2 2 2 2 2 6" xfId="4232" xr:uid="{ABE98A4E-7C6F-433F-A94A-372C3E698BD5}"/>
    <cellStyle name="Normal 5 2 2 2 2 2 2 6 2" xfId="8511" xr:uid="{8EED5403-2F94-4E89-9C42-F3630B1A2F24}"/>
    <cellStyle name="Normal 5 2 2 2 2 2 2 7" xfId="6446" xr:uid="{AB77D1EC-5B4A-4AF9-9C0D-9176FA117994}"/>
    <cellStyle name="Normal 5 2 2 2 2 2 2 8" xfId="2142" xr:uid="{E7596C01-427E-4B26-8FEA-5F931851C386}"/>
    <cellStyle name="Normal 5 2 2 2 2 2 2 9" xfId="1312" xr:uid="{D8956AE9-43C2-479F-9813-9B19F5FB4DC1}"/>
    <cellStyle name="Normal 5 2 2 2 2 2 3" xfId="893" xr:uid="{00000000-0005-0000-0000-0000DA020000}"/>
    <cellStyle name="Normal 5 2 2 2 2 2 3 2" xfId="4785" xr:uid="{97A85C10-F40D-4DB0-ABDB-DCE0A9883F1A}"/>
    <cellStyle name="Normal 5 2 2 2 2 2 3 2 2" xfId="9003" xr:uid="{233600C1-2E10-4FC3-A5BF-E763493D582D}"/>
    <cellStyle name="Normal 5 2 2 2 2 2 3 3" xfId="6858" xr:uid="{E7CA3600-C3E3-42EE-8EDC-9F82B0B7384E}"/>
    <cellStyle name="Normal 5 2 2 2 2 2 3 4" xfId="2556" xr:uid="{B3D08EF4-9712-4140-9E96-EC900156597E}"/>
    <cellStyle name="Normal 5 2 2 2 2 2 3 5" xfId="1727" xr:uid="{696D2214-7447-49F9-8713-6DD8EBE0472E}"/>
    <cellStyle name="Normal 5 2 2 2 2 2 3 6" xfId="11093" xr:uid="{8C0CC8A3-E41B-4D74-A236-1DEF150E69DF}"/>
    <cellStyle name="Normal 5 2 2 2 2 2 4" xfId="2969" xr:uid="{919DE3F9-57F0-43D1-A346-0425AE19FF5C}"/>
    <cellStyle name="Normal 5 2 2 2 2 2 4 2" xfId="5198" xr:uid="{E47935E6-D164-412A-B4F1-160E4FA56BCE}"/>
    <cellStyle name="Normal 5 2 2 2 2 2 4 2 2" xfId="9416" xr:uid="{993FCF70-3B74-4AC1-99CA-720692DE3DCF}"/>
    <cellStyle name="Normal 5 2 2 2 2 2 4 3" xfId="7271" xr:uid="{6AC70CDA-7981-4C87-BE3E-C6866600598F}"/>
    <cellStyle name="Normal 5 2 2 2 2 2 5" xfId="3382" xr:uid="{BE66914C-9323-45DC-843B-B81C893EF665}"/>
    <cellStyle name="Normal 5 2 2 2 2 2 5 2" xfId="5611" xr:uid="{02DA7DF8-86DA-4EF8-9D63-939A612759EF}"/>
    <cellStyle name="Normal 5 2 2 2 2 2 5 2 2" xfId="9829" xr:uid="{8055DC99-57E7-4979-94A1-94349B2A49A1}"/>
    <cellStyle name="Normal 5 2 2 2 2 2 5 3" xfId="7684" xr:uid="{EC539DEE-23F0-40E5-9260-3411ABCD519B}"/>
    <cellStyle name="Normal 5 2 2 2 2 2 6" xfId="3795" xr:uid="{9FDDF526-B2C0-406C-982A-9A2285F85BC6}"/>
    <cellStyle name="Normal 5 2 2 2 2 2 6 2" xfId="6024" xr:uid="{E7F97B4C-87D9-4D3B-8E7F-98CC242D9C1A}"/>
    <cellStyle name="Normal 5 2 2 2 2 2 6 2 2" xfId="10242" xr:uid="{0A4CFFF6-F052-4BC5-8D04-8C68B35D1372}"/>
    <cellStyle name="Normal 5 2 2 2 2 2 6 3" xfId="8097" xr:uid="{BC0E567B-703F-48CF-8C1A-B4F557A27081}"/>
    <cellStyle name="Normal 5 2 2 2 2 2 7" xfId="4231" xr:uid="{1AE646EF-2FC3-42F1-9B15-9036557D6103}"/>
    <cellStyle name="Normal 5 2 2 2 2 2 7 2" xfId="8510" xr:uid="{D6AE3B9A-8279-4A65-A2DE-1ADF66282F10}"/>
    <cellStyle name="Normal 5 2 2 2 2 2 8" xfId="6445" xr:uid="{2CCA6F9E-E0DD-46C7-9B7A-8698FFF59D61}"/>
    <cellStyle name="Normal 5 2 2 2 2 2 9" xfId="2141" xr:uid="{9F83664B-F30B-44CA-AD02-E1CD95849076}"/>
    <cellStyle name="Normal 5 2 2 2 2 3" xfId="416" xr:uid="{00000000-0005-0000-0000-0000DB020000}"/>
    <cellStyle name="Normal 5 2 2 2 2 3 10" xfId="10679" xr:uid="{DEAFCDF8-B1AD-42E7-9180-45B7F10FCEBE}"/>
    <cellStyle name="Normal 5 2 2 2 2 3 2" xfId="895" xr:uid="{00000000-0005-0000-0000-0000DC020000}"/>
    <cellStyle name="Normal 5 2 2 2 2 3 2 2" xfId="4787" xr:uid="{E10FE116-F7D5-4351-B301-9ABFE5C533C2}"/>
    <cellStyle name="Normal 5 2 2 2 2 3 2 2 2" xfId="9005" xr:uid="{A5273CD2-3E54-424D-AF71-D1812483CA94}"/>
    <cellStyle name="Normal 5 2 2 2 2 3 2 3" xfId="6860" xr:uid="{99F7A886-B772-4FD2-A1C5-89A583F475F2}"/>
    <cellStyle name="Normal 5 2 2 2 2 3 2 4" xfId="2558" xr:uid="{11AF0ACC-0ED1-421F-A54F-99292FD376D5}"/>
    <cellStyle name="Normal 5 2 2 2 2 3 2 5" xfId="1729" xr:uid="{0685FA3C-1562-4D21-AD19-B56A70F45301}"/>
    <cellStyle name="Normal 5 2 2 2 2 3 2 6" xfId="11095" xr:uid="{4349D27A-B2C8-47FD-96BA-554C4F4B7E13}"/>
    <cellStyle name="Normal 5 2 2 2 2 3 3" xfId="2971" xr:uid="{B4FF4C39-958C-4A81-920D-88AC5DECB336}"/>
    <cellStyle name="Normal 5 2 2 2 2 3 3 2" xfId="5200" xr:uid="{329F1085-B818-4F79-AEE9-A248EB008E18}"/>
    <cellStyle name="Normal 5 2 2 2 2 3 3 2 2" xfId="9418" xr:uid="{F8D31EB9-C863-498F-A96E-37E5D668BB91}"/>
    <cellStyle name="Normal 5 2 2 2 2 3 3 3" xfId="7273" xr:uid="{900447B2-9767-4304-A4D1-571D98747679}"/>
    <cellStyle name="Normal 5 2 2 2 2 3 4" xfId="3384" xr:uid="{153A141B-F509-41CE-86D3-C813627633C9}"/>
    <cellStyle name="Normal 5 2 2 2 2 3 4 2" xfId="5613" xr:uid="{3D41BCD6-8830-4090-9A55-DD130CA15B5B}"/>
    <cellStyle name="Normal 5 2 2 2 2 3 4 2 2" xfId="9831" xr:uid="{B4AF8972-3C26-4DC2-8E3F-493D6988A5B7}"/>
    <cellStyle name="Normal 5 2 2 2 2 3 4 3" xfId="7686" xr:uid="{DC0D36EB-430C-47E4-84F9-5966764665FF}"/>
    <cellStyle name="Normal 5 2 2 2 2 3 5" xfId="3797" xr:uid="{BB1080D7-16CE-4404-B90A-D596425FB623}"/>
    <cellStyle name="Normal 5 2 2 2 2 3 5 2" xfId="6026" xr:uid="{457A7F95-1630-490C-A20B-20255FE04EEA}"/>
    <cellStyle name="Normal 5 2 2 2 2 3 5 2 2" xfId="10244" xr:uid="{12C6F285-1F69-41D6-B495-63CE21A1489F}"/>
    <cellStyle name="Normal 5 2 2 2 2 3 5 3" xfId="8099" xr:uid="{BCB69AD3-05DD-4682-87FD-420D3166C618}"/>
    <cellStyle name="Normal 5 2 2 2 2 3 6" xfId="4233" xr:uid="{296424E1-B195-4DF4-B24C-3A73FE594CF5}"/>
    <cellStyle name="Normal 5 2 2 2 2 3 6 2" xfId="8512" xr:uid="{B285F876-B467-4CAB-8233-79CF0CAFEF4C}"/>
    <cellStyle name="Normal 5 2 2 2 2 3 7" xfId="6447" xr:uid="{92851190-1A14-4C3E-BF4B-60C325C741B5}"/>
    <cellStyle name="Normal 5 2 2 2 2 3 8" xfId="2143" xr:uid="{04EF8494-DA54-4200-97F8-3CC19FFD440F}"/>
    <cellStyle name="Normal 5 2 2 2 2 3 9" xfId="1313" xr:uid="{D594D989-5375-45E9-A963-F601DE58AF9F}"/>
    <cellStyle name="Normal 5 2 2 2 2 4" xfId="892" xr:uid="{00000000-0005-0000-0000-0000DD020000}"/>
    <cellStyle name="Normal 5 2 2 2 2 4 2" xfId="4784" xr:uid="{F9B897EF-A903-4ED0-9261-CF570027379E}"/>
    <cellStyle name="Normal 5 2 2 2 2 4 2 2" xfId="9002" xr:uid="{91A38EAA-D77F-4C61-9969-2A2F322A0B00}"/>
    <cellStyle name="Normal 5 2 2 2 2 4 3" xfId="6857" xr:uid="{4F8D8E14-4552-46DA-B9F4-7A9ABE6ECE0E}"/>
    <cellStyle name="Normal 5 2 2 2 2 4 4" xfId="2555" xr:uid="{D4C07AE1-352D-4E71-A337-8C1DCB8065C7}"/>
    <cellStyle name="Normal 5 2 2 2 2 4 5" xfId="1726" xr:uid="{77034FAB-2299-49BA-9BFF-5FAA580BF312}"/>
    <cellStyle name="Normal 5 2 2 2 2 4 6" xfId="11092" xr:uid="{9E3014AF-AA3F-4D9F-9DC3-61EE2D49FE2B}"/>
    <cellStyle name="Normal 5 2 2 2 2 5" xfId="2968" xr:uid="{3B006DFD-4949-4152-9D29-B9B081974051}"/>
    <cellStyle name="Normal 5 2 2 2 2 5 2" xfId="5197" xr:uid="{8C17F1ED-51FC-4FCC-85BF-101BA210A1F2}"/>
    <cellStyle name="Normal 5 2 2 2 2 5 2 2" xfId="9415" xr:uid="{20E7413B-955E-4412-8707-CB3D30402045}"/>
    <cellStyle name="Normal 5 2 2 2 2 5 3" xfId="7270" xr:uid="{7905F124-3653-4623-9303-3F2D108CE656}"/>
    <cellStyle name="Normal 5 2 2 2 2 6" xfId="3381" xr:uid="{0A449C19-10BF-413C-9D51-2EB5EB3DDD30}"/>
    <cellStyle name="Normal 5 2 2 2 2 6 2" xfId="5610" xr:uid="{7D86A720-CBA1-4E53-AA24-03ACA5FEE559}"/>
    <cellStyle name="Normal 5 2 2 2 2 6 2 2" xfId="9828" xr:uid="{FBC2A312-4B4C-47BD-BA6D-612B5F9028F8}"/>
    <cellStyle name="Normal 5 2 2 2 2 6 3" xfId="7683" xr:uid="{E879CD08-3E28-46D7-B8C1-DB2EC37717F1}"/>
    <cellStyle name="Normal 5 2 2 2 2 7" xfId="3794" xr:uid="{0832D310-0544-49A1-8753-C8143D7DE075}"/>
    <cellStyle name="Normal 5 2 2 2 2 7 2" xfId="6023" xr:uid="{6B1935D9-22D4-40BD-865C-84B3D52170BD}"/>
    <cellStyle name="Normal 5 2 2 2 2 7 2 2" xfId="10241" xr:uid="{B576E44E-28B8-4BE1-9B56-5C88C9113FD5}"/>
    <cellStyle name="Normal 5 2 2 2 2 7 3" xfId="8096" xr:uid="{5209C46C-5182-4D10-B4CB-3F982CAC1E24}"/>
    <cellStyle name="Normal 5 2 2 2 2 8" xfId="4230" xr:uid="{3387596E-6186-42F1-8B25-27000EAF346B}"/>
    <cellStyle name="Normal 5 2 2 2 2 8 2" xfId="8509" xr:uid="{BE7DD7C7-DC2D-4118-984C-421FC2C7431F}"/>
    <cellStyle name="Normal 5 2 2 2 2 9" xfId="6444" xr:uid="{531B142A-3434-4466-82EA-5188E5384044}"/>
    <cellStyle name="Normal 5 2 2 2 3" xfId="417" xr:uid="{00000000-0005-0000-0000-0000DE020000}"/>
    <cellStyle name="Normal 5 2 2 2 3 10" xfId="1314" xr:uid="{2F332501-9AE4-41DB-8A63-64F86DB1FA1E}"/>
    <cellStyle name="Normal 5 2 2 2 3 11" xfId="10680" xr:uid="{C2723705-706E-41C2-A54C-D73094803AB0}"/>
    <cellStyle name="Normal 5 2 2 2 3 2" xfId="418" xr:uid="{00000000-0005-0000-0000-0000DF020000}"/>
    <cellStyle name="Normal 5 2 2 2 3 2 10" xfId="10681" xr:uid="{FC1D814C-392C-4C73-8029-2E07A9D2C6DD}"/>
    <cellStyle name="Normal 5 2 2 2 3 2 2" xfId="897" xr:uid="{00000000-0005-0000-0000-0000E0020000}"/>
    <cellStyle name="Normal 5 2 2 2 3 2 2 2" xfId="4789" xr:uid="{6BE02AF9-BE08-4479-8E3B-440C7D8FEAAC}"/>
    <cellStyle name="Normal 5 2 2 2 3 2 2 2 2" xfId="9007" xr:uid="{92757020-F272-4D80-A3B7-14DDA3E8F934}"/>
    <cellStyle name="Normal 5 2 2 2 3 2 2 3" xfId="6862" xr:uid="{D123DF91-AD45-4D78-9660-3CD23175D2C8}"/>
    <cellStyle name="Normal 5 2 2 2 3 2 2 4" xfId="2560" xr:uid="{3FCDDA74-A517-4702-A1A3-20A7CF29D608}"/>
    <cellStyle name="Normal 5 2 2 2 3 2 2 5" xfId="1731" xr:uid="{63E6B263-4B3D-40F7-B00E-ED2D0724E870}"/>
    <cellStyle name="Normal 5 2 2 2 3 2 2 6" xfId="11097" xr:uid="{DA9D1D4D-789E-411C-A5FA-E1B7688A07F1}"/>
    <cellStyle name="Normal 5 2 2 2 3 2 3" xfId="2973" xr:uid="{C855C877-52D9-4DC7-AE6A-1DEB70222F40}"/>
    <cellStyle name="Normal 5 2 2 2 3 2 3 2" xfId="5202" xr:uid="{FC816C05-5A7C-4435-83A7-A6913577E293}"/>
    <cellStyle name="Normal 5 2 2 2 3 2 3 2 2" xfId="9420" xr:uid="{6EDA31F3-5520-4368-A0D9-31D3DC1444E9}"/>
    <cellStyle name="Normal 5 2 2 2 3 2 3 3" xfId="7275" xr:uid="{7DF57FFE-4C47-4ED9-8549-69533689B648}"/>
    <cellStyle name="Normal 5 2 2 2 3 2 4" xfId="3386" xr:uid="{8226B8F8-AA32-4D2A-9260-1B7B79B29AFF}"/>
    <cellStyle name="Normal 5 2 2 2 3 2 4 2" xfId="5615" xr:uid="{57DBBB19-C4AB-4F5F-9868-C87C1105330F}"/>
    <cellStyle name="Normal 5 2 2 2 3 2 4 2 2" xfId="9833" xr:uid="{6A49A439-3B6F-464A-9EE4-2E977AFDDC64}"/>
    <cellStyle name="Normal 5 2 2 2 3 2 4 3" xfId="7688" xr:uid="{E2082B9C-D18D-4F14-B512-704D18EB85E9}"/>
    <cellStyle name="Normal 5 2 2 2 3 2 5" xfId="3799" xr:uid="{E88D9480-8BAA-4B65-89DE-B6D391170478}"/>
    <cellStyle name="Normal 5 2 2 2 3 2 5 2" xfId="6028" xr:uid="{A47792B1-8CB1-4F21-A6E0-E4BB37A8C83E}"/>
    <cellStyle name="Normal 5 2 2 2 3 2 5 2 2" xfId="10246" xr:uid="{90F5CE50-8E67-4A4B-A955-FBBA3547F0F3}"/>
    <cellStyle name="Normal 5 2 2 2 3 2 5 3" xfId="8101" xr:uid="{935A3739-4CF0-4791-84FB-A32D59CA8A61}"/>
    <cellStyle name="Normal 5 2 2 2 3 2 6" xfId="4235" xr:uid="{924FC988-A727-4D8B-8800-C9D6B3CF88B5}"/>
    <cellStyle name="Normal 5 2 2 2 3 2 6 2" xfId="8514" xr:uid="{1C23946A-21FD-4703-BFF0-E36C34801598}"/>
    <cellStyle name="Normal 5 2 2 2 3 2 7" xfId="6449" xr:uid="{F8C3F6D3-A2E2-44D0-A384-7393C9F98D58}"/>
    <cellStyle name="Normal 5 2 2 2 3 2 8" xfId="2145" xr:uid="{621F55D6-D9BD-4836-88FA-7D08838D3BEA}"/>
    <cellStyle name="Normal 5 2 2 2 3 2 9" xfId="1315" xr:uid="{700D8B68-DFE0-4305-8782-AB1129C9B1DE}"/>
    <cellStyle name="Normal 5 2 2 2 3 3" xfId="896" xr:uid="{00000000-0005-0000-0000-0000E1020000}"/>
    <cellStyle name="Normal 5 2 2 2 3 3 2" xfId="4788" xr:uid="{C2D6879C-6E59-48B4-B72E-F37BF5B30EDC}"/>
    <cellStyle name="Normal 5 2 2 2 3 3 2 2" xfId="9006" xr:uid="{D0539683-45BA-4C75-B502-726EF2F8CF57}"/>
    <cellStyle name="Normal 5 2 2 2 3 3 3" xfId="6861" xr:uid="{FEEC579B-6B77-412A-9D44-4938A34F012E}"/>
    <cellStyle name="Normal 5 2 2 2 3 3 4" xfId="2559" xr:uid="{7EA549FA-F5FA-491D-B151-90A24DCD62E6}"/>
    <cellStyle name="Normal 5 2 2 2 3 3 5" xfId="1730" xr:uid="{F6A93FB5-FD1F-461D-954E-D24DFC0B007E}"/>
    <cellStyle name="Normal 5 2 2 2 3 3 6" xfId="11096" xr:uid="{4047B98D-E697-483F-A32B-42D8D930162C}"/>
    <cellStyle name="Normal 5 2 2 2 3 4" xfId="2972" xr:uid="{5B124720-9814-4D72-9E05-0516E07ABAF5}"/>
    <cellStyle name="Normal 5 2 2 2 3 4 2" xfId="5201" xr:uid="{726B63C7-F8F0-443C-8231-80E111CABD47}"/>
    <cellStyle name="Normal 5 2 2 2 3 4 2 2" xfId="9419" xr:uid="{ED683E0D-7513-45A4-9C83-AEDBCD868A4A}"/>
    <cellStyle name="Normal 5 2 2 2 3 4 3" xfId="7274" xr:uid="{D5847E1F-FF03-4B6D-84CB-88E342EBB023}"/>
    <cellStyle name="Normal 5 2 2 2 3 5" xfId="3385" xr:uid="{F026447D-D536-444B-8561-E30952923F61}"/>
    <cellStyle name="Normal 5 2 2 2 3 5 2" xfId="5614" xr:uid="{21CB9109-E6E9-47FA-B46A-6BD98712695F}"/>
    <cellStyle name="Normal 5 2 2 2 3 5 2 2" xfId="9832" xr:uid="{2378D610-36CE-4E63-9C5B-7AF33E92B050}"/>
    <cellStyle name="Normal 5 2 2 2 3 5 3" xfId="7687" xr:uid="{FAFAB882-9B82-43F1-83BB-47324918F294}"/>
    <cellStyle name="Normal 5 2 2 2 3 6" xfId="3798" xr:uid="{1EA7A1ED-9537-40DD-BD10-3BA80AA3346C}"/>
    <cellStyle name="Normal 5 2 2 2 3 6 2" xfId="6027" xr:uid="{515BCE9A-7871-42C9-B200-1BD49EB27A03}"/>
    <cellStyle name="Normal 5 2 2 2 3 6 2 2" xfId="10245" xr:uid="{9CFF7112-EAED-4285-A41C-01FF365CD733}"/>
    <cellStyle name="Normal 5 2 2 2 3 6 3" xfId="8100" xr:uid="{537A0FD1-5B8F-44F0-B292-D45E6B788920}"/>
    <cellStyle name="Normal 5 2 2 2 3 7" xfId="4234" xr:uid="{B7A94001-617E-49F6-AE42-A821FB464CD6}"/>
    <cellStyle name="Normal 5 2 2 2 3 7 2" xfId="8513" xr:uid="{9654AAE9-5D80-4842-924D-88F89E29C3B3}"/>
    <cellStyle name="Normal 5 2 2 2 3 8" xfId="6448" xr:uid="{02E64630-97E5-4848-9308-87973E70386E}"/>
    <cellStyle name="Normal 5 2 2 2 3 9" xfId="2144" xr:uid="{2D5227A4-FFBD-4B87-8CF3-6757BBB1B674}"/>
    <cellStyle name="Normal 5 2 2 2 4" xfId="419" xr:uid="{00000000-0005-0000-0000-0000E2020000}"/>
    <cellStyle name="Normal 5 2 2 2 4 10" xfId="10682" xr:uid="{E9157FA8-028A-4ADC-BA3F-04BBEEA4EEF6}"/>
    <cellStyle name="Normal 5 2 2 2 4 2" xfId="898" xr:uid="{00000000-0005-0000-0000-0000E3020000}"/>
    <cellStyle name="Normal 5 2 2 2 4 2 2" xfId="4790" xr:uid="{819096D8-F3AB-4028-83AF-03BC843BC933}"/>
    <cellStyle name="Normal 5 2 2 2 4 2 2 2" xfId="9008" xr:uid="{59962BB5-E2A9-4962-8226-C0B00D727C1C}"/>
    <cellStyle name="Normal 5 2 2 2 4 2 3" xfId="6863" xr:uid="{11CD6B23-03CF-4E4A-8725-7C8A03348FD4}"/>
    <cellStyle name="Normal 5 2 2 2 4 2 4" xfId="2561" xr:uid="{B310DF25-2D82-42F3-A522-BCB027640BB8}"/>
    <cellStyle name="Normal 5 2 2 2 4 2 5" xfId="1732" xr:uid="{F995EC33-1345-4832-AC3D-024C28D935D5}"/>
    <cellStyle name="Normal 5 2 2 2 4 2 6" xfId="11098" xr:uid="{DAEFC18F-60EA-482A-99CC-D09CCFD9DF02}"/>
    <cellStyle name="Normal 5 2 2 2 4 3" xfId="2974" xr:uid="{F4EF5942-E785-4704-8510-64D88F09B81D}"/>
    <cellStyle name="Normal 5 2 2 2 4 3 2" xfId="5203" xr:uid="{46E4A4A5-A77E-4A53-AF19-8BEE112AC7BD}"/>
    <cellStyle name="Normal 5 2 2 2 4 3 2 2" xfId="9421" xr:uid="{CC74DE47-84D1-4F39-8799-B852A27A7B53}"/>
    <cellStyle name="Normal 5 2 2 2 4 3 3" xfId="7276" xr:uid="{CA6219B7-4BF4-4E3D-93C1-12C1734D52A3}"/>
    <cellStyle name="Normal 5 2 2 2 4 4" xfId="3387" xr:uid="{E254753C-E378-4FD4-B536-7F88BC3D240E}"/>
    <cellStyle name="Normal 5 2 2 2 4 4 2" xfId="5616" xr:uid="{E9B67059-8799-41AD-A32B-0536372B0672}"/>
    <cellStyle name="Normal 5 2 2 2 4 4 2 2" xfId="9834" xr:uid="{1720F6CB-9831-40CC-BE95-ABA2CF9A62FA}"/>
    <cellStyle name="Normal 5 2 2 2 4 4 3" xfId="7689" xr:uid="{E9B46EBE-0F79-4B2A-899A-9818F416CBB8}"/>
    <cellStyle name="Normal 5 2 2 2 4 5" xfId="3800" xr:uid="{6FDC3C72-E661-4B55-BA32-9B4F7CCFEB6D}"/>
    <cellStyle name="Normal 5 2 2 2 4 5 2" xfId="6029" xr:uid="{7E0D57C7-B9AD-42AF-A27C-E7F84CFA9368}"/>
    <cellStyle name="Normal 5 2 2 2 4 5 2 2" xfId="10247" xr:uid="{5EFCC3E6-2F41-477D-86F3-0A514AA07B7F}"/>
    <cellStyle name="Normal 5 2 2 2 4 5 3" xfId="8102" xr:uid="{1BCFEFA1-4D29-4E2C-A0B3-3995920CAB00}"/>
    <cellStyle name="Normal 5 2 2 2 4 6" xfId="4236" xr:uid="{D54CBE97-263C-47E1-B5FB-096E674D23A2}"/>
    <cellStyle name="Normal 5 2 2 2 4 6 2" xfId="8515" xr:uid="{414DA2DB-8529-4DE5-A87A-7D5DF60F2D49}"/>
    <cellStyle name="Normal 5 2 2 2 4 7" xfId="6450" xr:uid="{D3CD3B42-8EDA-4BBE-9500-1F05E738EADF}"/>
    <cellStyle name="Normal 5 2 2 2 4 8" xfId="2146" xr:uid="{BC471351-E86D-4DC1-9DBA-6CD99322828F}"/>
    <cellStyle name="Normal 5 2 2 2 4 9" xfId="1316" xr:uid="{16D4732C-0B34-4786-9AA4-D5F48F462924}"/>
    <cellStyle name="Normal 5 2 2 2 5" xfId="891" xr:uid="{00000000-0005-0000-0000-0000E4020000}"/>
    <cellStyle name="Normal 5 2 2 2 5 2" xfId="4783" xr:uid="{7B490AA7-E734-4F63-AEA3-82B7C5D19F09}"/>
    <cellStyle name="Normal 5 2 2 2 5 2 2" xfId="9001" xr:uid="{62836A05-2073-4C9E-8444-65EB57AA838D}"/>
    <cellStyle name="Normal 5 2 2 2 5 3" xfId="6856" xr:uid="{7368A8AC-C662-4241-874F-DF3D72956C80}"/>
    <cellStyle name="Normal 5 2 2 2 5 4" xfId="2554" xr:uid="{CDF8ECFF-9588-4750-89E5-256A7A3C7181}"/>
    <cellStyle name="Normal 5 2 2 2 5 5" xfId="1725" xr:uid="{402848FC-7C67-4E0B-9ED8-97599A178505}"/>
    <cellStyle name="Normal 5 2 2 2 5 6" xfId="11091" xr:uid="{6EEE3587-AF8D-4FA5-B136-90132994DC8F}"/>
    <cellStyle name="Normal 5 2 2 2 6" xfId="2967" xr:uid="{2CF8B15E-0C08-489D-AAA1-928D7DD9CE82}"/>
    <cellStyle name="Normal 5 2 2 2 6 2" xfId="5196" xr:uid="{6F3FCF2D-D9FE-4464-9808-ACBFF50AD9F6}"/>
    <cellStyle name="Normal 5 2 2 2 6 2 2" xfId="9414" xr:uid="{08062461-FE4A-49E3-A8FD-A997480EA5F5}"/>
    <cellStyle name="Normal 5 2 2 2 6 3" xfId="7269" xr:uid="{7271D46E-327E-4162-AF78-35118C9BF28F}"/>
    <cellStyle name="Normal 5 2 2 2 7" xfId="3380" xr:uid="{63360157-E06B-47CA-BC05-F2CA524C949D}"/>
    <cellStyle name="Normal 5 2 2 2 7 2" xfId="5609" xr:uid="{360C1E36-9E33-41D5-8440-CF32F5110B62}"/>
    <cellStyle name="Normal 5 2 2 2 7 2 2" xfId="9827" xr:uid="{77B7E95F-E2C0-49DD-87EB-E6EECDA34EED}"/>
    <cellStyle name="Normal 5 2 2 2 7 3" xfId="7682" xr:uid="{DA5EB34C-83A9-437D-9084-C6487AEA52B5}"/>
    <cellStyle name="Normal 5 2 2 2 8" xfId="3793" xr:uid="{2A253E08-316E-45A1-A2E5-04E931138BFD}"/>
    <cellStyle name="Normal 5 2 2 2 8 2" xfId="6022" xr:uid="{E99DCC75-F81D-404F-A610-5DBACC7AD0EE}"/>
    <cellStyle name="Normal 5 2 2 2 8 2 2" xfId="10240" xr:uid="{D3992629-13EA-46F4-8FFC-82DC7867EE1D}"/>
    <cellStyle name="Normal 5 2 2 2 8 3" xfId="8095" xr:uid="{26ED5EDC-5492-4B48-94AC-AF8E961C4B50}"/>
    <cellStyle name="Normal 5 2 2 2 9" xfId="4229" xr:uid="{9DEC15EB-2009-4344-8742-84C9FA2710FB}"/>
    <cellStyle name="Normal 5 2 2 2 9 2" xfId="8508" xr:uid="{10E51BC8-C473-44D7-B4C2-EE57A8C4F18C}"/>
    <cellStyle name="Normal 5 2 2 3" xfId="420" xr:uid="{00000000-0005-0000-0000-0000E5020000}"/>
    <cellStyle name="Normal 5 2 2 3 10" xfId="2147" xr:uid="{CC5AFC1B-DC03-491B-86D7-5E4051A65EBA}"/>
    <cellStyle name="Normal 5 2 2 3 11" xfId="1317" xr:uid="{92EBDA47-58DC-4FE7-984D-40688B5E8F34}"/>
    <cellStyle name="Normal 5 2 2 3 12" xfId="10683" xr:uid="{F29C7120-DFF2-4385-9BC9-E02FFA0FB86B}"/>
    <cellStyle name="Normal 5 2 2 3 2" xfId="421" xr:uid="{00000000-0005-0000-0000-0000E6020000}"/>
    <cellStyle name="Normal 5 2 2 3 2 10" xfId="1318" xr:uid="{49B18D80-5D2B-42FB-9C2A-74E5F8D74887}"/>
    <cellStyle name="Normal 5 2 2 3 2 11" xfId="10684" xr:uid="{A1A3AE5C-D03F-4D08-864D-6E3BDDCE92F3}"/>
    <cellStyle name="Normal 5 2 2 3 2 2" xfId="422" xr:uid="{00000000-0005-0000-0000-0000E7020000}"/>
    <cellStyle name="Normal 5 2 2 3 2 2 10" xfId="10685" xr:uid="{F50CB485-2E4F-49F1-8F57-3908F69EC9F4}"/>
    <cellStyle name="Normal 5 2 2 3 2 2 2" xfId="901" xr:uid="{00000000-0005-0000-0000-0000E8020000}"/>
    <cellStyle name="Normal 5 2 2 3 2 2 2 2" xfId="4793" xr:uid="{44357611-39E9-4ECF-B24E-4978A1E3F2E5}"/>
    <cellStyle name="Normal 5 2 2 3 2 2 2 2 2" xfId="9011" xr:uid="{FCFA1430-B3F6-48DB-B7D9-96FF46B6E17A}"/>
    <cellStyle name="Normal 5 2 2 3 2 2 2 3" xfId="6866" xr:uid="{DFD503A5-F1D9-4093-87A9-685FC90B481B}"/>
    <cellStyle name="Normal 5 2 2 3 2 2 2 4" xfId="2564" xr:uid="{D8CA0339-418D-4126-8C2A-E6FD1B823E52}"/>
    <cellStyle name="Normal 5 2 2 3 2 2 2 5" xfId="1735" xr:uid="{ABAA4344-4B84-4127-BF82-ED5EE28A15A9}"/>
    <cellStyle name="Normal 5 2 2 3 2 2 2 6" xfId="11101" xr:uid="{AE558D2D-7E26-4D74-8DAC-823D061F9C1D}"/>
    <cellStyle name="Normal 5 2 2 3 2 2 3" xfId="2977" xr:uid="{E169B1B3-C0EE-4BA2-8496-B04617BF7A8B}"/>
    <cellStyle name="Normal 5 2 2 3 2 2 3 2" xfId="5206" xr:uid="{5722BF0B-AFE5-48F1-B7BF-C480822FE1F8}"/>
    <cellStyle name="Normal 5 2 2 3 2 2 3 2 2" xfId="9424" xr:uid="{33935A12-F0DF-46E3-AD25-F39426377489}"/>
    <cellStyle name="Normal 5 2 2 3 2 2 3 3" xfId="7279" xr:uid="{CCECDC1D-153C-4E96-B88B-FEF2E6A9F68C}"/>
    <cellStyle name="Normal 5 2 2 3 2 2 4" xfId="3390" xr:uid="{A76A387C-7146-47A2-AFCB-6C35D0F1217F}"/>
    <cellStyle name="Normal 5 2 2 3 2 2 4 2" xfId="5619" xr:uid="{0D41B2CD-1229-401D-8E95-813D735AD7CF}"/>
    <cellStyle name="Normal 5 2 2 3 2 2 4 2 2" xfId="9837" xr:uid="{F795358E-B88C-47B5-9D6A-A32A7E204DCE}"/>
    <cellStyle name="Normal 5 2 2 3 2 2 4 3" xfId="7692" xr:uid="{5784EB49-3BE1-4204-A203-6143A9DE81A0}"/>
    <cellStyle name="Normal 5 2 2 3 2 2 5" xfId="3803" xr:uid="{C6D79A9C-EF16-422E-8A67-0BAE9F1B7528}"/>
    <cellStyle name="Normal 5 2 2 3 2 2 5 2" xfId="6032" xr:uid="{08041CC4-EE93-439E-8F91-A378F7E6CC01}"/>
    <cellStyle name="Normal 5 2 2 3 2 2 5 2 2" xfId="10250" xr:uid="{B278801D-CB84-4239-8113-A0B116C9496C}"/>
    <cellStyle name="Normal 5 2 2 3 2 2 5 3" xfId="8105" xr:uid="{4CE2F25F-7140-44B7-A769-D3A0A2B2F0C9}"/>
    <cellStyle name="Normal 5 2 2 3 2 2 6" xfId="4239" xr:uid="{25265AB2-5478-4C0E-A4C4-03D802ED4024}"/>
    <cellStyle name="Normal 5 2 2 3 2 2 6 2" xfId="8518" xr:uid="{F6AD7AA0-82FC-4CB2-848F-217898E17C8E}"/>
    <cellStyle name="Normal 5 2 2 3 2 2 7" xfId="6453" xr:uid="{787730B8-5238-4415-8D4F-8755AC58AA95}"/>
    <cellStyle name="Normal 5 2 2 3 2 2 8" xfId="2149" xr:uid="{6D257037-01E5-4049-8DE1-F17EDEA2E1DD}"/>
    <cellStyle name="Normal 5 2 2 3 2 2 9" xfId="1319" xr:uid="{9E668AED-B86A-4181-A745-7BBF1FB9A779}"/>
    <cellStyle name="Normal 5 2 2 3 2 3" xfId="900" xr:uid="{00000000-0005-0000-0000-0000E9020000}"/>
    <cellStyle name="Normal 5 2 2 3 2 3 2" xfId="4792" xr:uid="{6012BE7C-4F37-4215-8DBB-159914421FB0}"/>
    <cellStyle name="Normal 5 2 2 3 2 3 2 2" xfId="9010" xr:uid="{A0EB89D8-574F-4888-9DDD-89BF10D1803F}"/>
    <cellStyle name="Normal 5 2 2 3 2 3 3" xfId="6865" xr:uid="{48161D3B-57DA-46A3-8F8E-9EDD851C5CF7}"/>
    <cellStyle name="Normal 5 2 2 3 2 3 4" xfId="2563" xr:uid="{FA42F3F7-16F8-4136-8D2D-3CB9B3164448}"/>
    <cellStyle name="Normal 5 2 2 3 2 3 5" xfId="1734" xr:uid="{6DCE77F4-86B8-4FB4-A59E-69F4E5126B42}"/>
    <cellStyle name="Normal 5 2 2 3 2 3 6" xfId="11100" xr:uid="{F1293762-21F3-48CF-9012-CB5BB94FEB5C}"/>
    <cellStyle name="Normal 5 2 2 3 2 4" xfId="2976" xr:uid="{F6130559-2851-4164-A509-60E7CA88706B}"/>
    <cellStyle name="Normal 5 2 2 3 2 4 2" xfId="5205" xr:uid="{08995F4E-7D65-4E3B-B18B-906B987FD4A4}"/>
    <cellStyle name="Normal 5 2 2 3 2 4 2 2" xfId="9423" xr:uid="{196B9ACA-855F-4C15-905B-BE95D430D02F}"/>
    <cellStyle name="Normal 5 2 2 3 2 4 3" xfId="7278" xr:uid="{1B2822A8-38C8-4DD6-9F65-9C52C161BB9C}"/>
    <cellStyle name="Normal 5 2 2 3 2 5" xfId="3389" xr:uid="{6CA2EA3F-D597-4F91-8FD3-DB77774F211C}"/>
    <cellStyle name="Normal 5 2 2 3 2 5 2" xfId="5618" xr:uid="{18BD80DE-9D6B-4A9F-B25B-1D1A6BE566F1}"/>
    <cellStyle name="Normal 5 2 2 3 2 5 2 2" xfId="9836" xr:uid="{6E7F0492-2DC0-4B12-9733-B6D3D2A6FC25}"/>
    <cellStyle name="Normal 5 2 2 3 2 5 3" xfId="7691" xr:uid="{2A9ACD99-C91B-4AD0-9C0D-2B1FA5272018}"/>
    <cellStyle name="Normal 5 2 2 3 2 6" xfId="3802" xr:uid="{47BAA694-6D06-42CE-B6EB-F463719342F4}"/>
    <cellStyle name="Normal 5 2 2 3 2 6 2" xfId="6031" xr:uid="{123341E4-62C6-4245-86DD-88CDCFA3598E}"/>
    <cellStyle name="Normal 5 2 2 3 2 6 2 2" xfId="10249" xr:uid="{7FE6B5D2-6912-4897-94BD-06BEE5EB384C}"/>
    <cellStyle name="Normal 5 2 2 3 2 6 3" xfId="8104" xr:uid="{27FD4481-099C-494D-B688-52E4F62046D0}"/>
    <cellStyle name="Normal 5 2 2 3 2 7" xfId="4238" xr:uid="{1E80858C-B443-4DD0-83F5-486436839D2E}"/>
    <cellStyle name="Normal 5 2 2 3 2 7 2" xfId="8517" xr:uid="{E12DB9EC-5FDB-4B61-A6C8-BA0B79B2E6AE}"/>
    <cellStyle name="Normal 5 2 2 3 2 8" xfId="6452" xr:uid="{BE31EACB-043E-4901-853D-A36604FD4C3A}"/>
    <cellStyle name="Normal 5 2 2 3 2 9" xfId="2148" xr:uid="{B1E13724-936F-4B8C-ABCB-B4AFFDEBE928}"/>
    <cellStyle name="Normal 5 2 2 3 3" xfId="423" xr:uid="{00000000-0005-0000-0000-0000EA020000}"/>
    <cellStyle name="Normal 5 2 2 3 3 10" xfId="10686" xr:uid="{61FEB860-BAE6-4109-BEA8-526D45D7891B}"/>
    <cellStyle name="Normal 5 2 2 3 3 2" xfId="902" xr:uid="{00000000-0005-0000-0000-0000EB020000}"/>
    <cellStyle name="Normal 5 2 2 3 3 2 2" xfId="4794" xr:uid="{E850F004-D198-40D5-8FE5-E19A9E4FAB28}"/>
    <cellStyle name="Normal 5 2 2 3 3 2 2 2" xfId="9012" xr:uid="{AA2ABB88-D766-49CE-BFF8-A1B1578CB623}"/>
    <cellStyle name="Normal 5 2 2 3 3 2 3" xfId="6867" xr:uid="{AF11AED2-6B38-4B2C-B8D8-E0FCAFA3C0AA}"/>
    <cellStyle name="Normal 5 2 2 3 3 2 4" xfId="2565" xr:uid="{A0963B02-8A83-4EDC-8D60-95956F6575CD}"/>
    <cellStyle name="Normal 5 2 2 3 3 2 5" xfId="1736" xr:uid="{91F51E5C-5A77-493F-B61C-CF9300A816DD}"/>
    <cellStyle name="Normal 5 2 2 3 3 2 6" xfId="11102" xr:uid="{F2C4A363-15D4-43F3-AEAA-3D1D05A91479}"/>
    <cellStyle name="Normal 5 2 2 3 3 3" xfId="2978" xr:uid="{A5891E97-1715-4D67-8D5B-36D3FBB0D594}"/>
    <cellStyle name="Normal 5 2 2 3 3 3 2" xfId="5207" xr:uid="{33C02F1E-4446-45E4-B2F6-46244F3A6443}"/>
    <cellStyle name="Normal 5 2 2 3 3 3 2 2" xfId="9425" xr:uid="{CABDACD1-03FC-403D-999A-03EBBCFD733D}"/>
    <cellStyle name="Normal 5 2 2 3 3 3 3" xfId="7280" xr:uid="{B1725B5E-E1B4-4EC1-AB4E-016FA9208BD8}"/>
    <cellStyle name="Normal 5 2 2 3 3 4" xfId="3391" xr:uid="{157175B5-1B5A-4C0E-9014-B8E2CD9EAB83}"/>
    <cellStyle name="Normal 5 2 2 3 3 4 2" xfId="5620" xr:uid="{377FA366-1A7F-4D51-A3D4-ABCAF8116AB6}"/>
    <cellStyle name="Normal 5 2 2 3 3 4 2 2" xfId="9838" xr:uid="{FF9FF97E-0D1F-45B8-B502-946359DA4620}"/>
    <cellStyle name="Normal 5 2 2 3 3 4 3" xfId="7693" xr:uid="{27983B19-8153-454E-8CF7-384EE574C729}"/>
    <cellStyle name="Normal 5 2 2 3 3 5" xfId="3804" xr:uid="{ACC10AC5-6385-4774-9156-53ADC9877EAC}"/>
    <cellStyle name="Normal 5 2 2 3 3 5 2" xfId="6033" xr:uid="{CB1B9E58-CF7C-40DC-A91A-D5A00291A041}"/>
    <cellStyle name="Normal 5 2 2 3 3 5 2 2" xfId="10251" xr:uid="{1B52DEC3-3F88-4CF7-93B5-BFCD2C3A2126}"/>
    <cellStyle name="Normal 5 2 2 3 3 5 3" xfId="8106" xr:uid="{5F0275E0-689B-4F28-9AF3-31883F3860D2}"/>
    <cellStyle name="Normal 5 2 2 3 3 6" xfId="4240" xr:uid="{9B7CF5F1-4634-413A-8690-97FD95CAB553}"/>
    <cellStyle name="Normal 5 2 2 3 3 6 2" xfId="8519" xr:uid="{5E0CF3A9-0DF3-4DAD-8C4D-34959539F282}"/>
    <cellStyle name="Normal 5 2 2 3 3 7" xfId="6454" xr:uid="{28EB76A2-66E6-4002-988D-64FFF3C873A0}"/>
    <cellStyle name="Normal 5 2 2 3 3 8" xfId="2150" xr:uid="{17AC0876-2680-48F2-9DF6-8995FB83D1FD}"/>
    <cellStyle name="Normal 5 2 2 3 3 9" xfId="1320" xr:uid="{1DE10E0A-2D20-4B0C-8527-EA498148BAEE}"/>
    <cellStyle name="Normal 5 2 2 3 4" xfId="899" xr:uid="{00000000-0005-0000-0000-0000EC020000}"/>
    <cellStyle name="Normal 5 2 2 3 4 2" xfId="4791" xr:uid="{A6A1EFB5-406E-4921-9686-D334AEAB150D}"/>
    <cellStyle name="Normal 5 2 2 3 4 2 2" xfId="9009" xr:uid="{0BAC2D1B-6131-47FA-8743-6188AE915717}"/>
    <cellStyle name="Normal 5 2 2 3 4 3" xfId="6864" xr:uid="{914F6FAD-61C3-4242-A82C-7E7803FBEBA9}"/>
    <cellStyle name="Normal 5 2 2 3 4 4" xfId="2562" xr:uid="{3EC6C1C7-4455-4959-9764-DBDA09D6FF58}"/>
    <cellStyle name="Normal 5 2 2 3 4 5" xfId="1733" xr:uid="{D0416CB5-4F32-4E68-B170-79EB31008869}"/>
    <cellStyle name="Normal 5 2 2 3 4 6" xfId="11099" xr:uid="{C036BF24-C00E-495A-A582-4DFDF4BF53D1}"/>
    <cellStyle name="Normal 5 2 2 3 5" xfId="2975" xr:uid="{ACAFF5D6-D182-48BE-BE49-75A82DC8A892}"/>
    <cellStyle name="Normal 5 2 2 3 5 2" xfId="5204" xr:uid="{0686F8A8-28E1-4BB9-9B34-95B8686755E1}"/>
    <cellStyle name="Normal 5 2 2 3 5 2 2" xfId="9422" xr:uid="{B0BCDADB-086F-436C-8600-F377F858E337}"/>
    <cellStyle name="Normal 5 2 2 3 5 3" xfId="7277" xr:uid="{E4239EB3-12FE-42E5-ABC7-F1F7E29ED106}"/>
    <cellStyle name="Normal 5 2 2 3 6" xfId="3388" xr:uid="{CDAC036B-5673-488E-BB76-37DEB1276677}"/>
    <cellStyle name="Normal 5 2 2 3 6 2" xfId="5617" xr:uid="{FE47C3E8-266C-4286-A585-AA83C898B1F3}"/>
    <cellStyle name="Normal 5 2 2 3 6 2 2" xfId="9835" xr:uid="{A7C6841E-8127-4D49-87E4-12FD84DF8B69}"/>
    <cellStyle name="Normal 5 2 2 3 6 3" xfId="7690" xr:uid="{792CA0BA-A955-43C7-9432-629BB1C885FE}"/>
    <cellStyle name="Normal 5 2 2 3 7" xfId="3801" xr:uid="{DA4C1B36-3557-42B4-A97C-AB199D3ECB11}"/>
    <cellStyle name="Normal 5 2 2 3 7 2" xfId="6030" xr:uid="{BDA2F305-823D-44EC-BD8A-D3D8D066588B}"/>
    <cellStyle name="Normal 5 2 2 3 7 2 2" xfId="10248" xr:uid="{3039D5E0-682C-4D2E-BA2F-D02747197EC9}"/>
    <cellStyle name="Normal 5 2 2 3 7 3" xfId="8103" xr:uid="{C6E49D2F-1F9D-477C-91E8-7015971B035A}"/>
    <cellStyle name="Normal 5 2 2 3 8" xfId="4237" xr:uid="{1EE2E3FD-140D-4FB5-8313-FF4675265FD3}"/>
    <cellStyle name="Normal 5 2 2 3 8 2" xfId="8516" xr:uid="{AC08BB05-74D4-4CE2-88EB-E31F6DA9097E}"/>
    <cellStyle name="Normal 5 2 2 3 9" xfId="6451" xr:uid="{116EB0F9-AE38-41A3-A15B-B07034215FD9}"/>
    <cellStyle name="Normal 5 2 2 4" xfId="424" xr:uid="{00000000-0005-0000-0000-0000ED020000}"/>
    <cellStyle name="Normal 5 2 2 4 10" xfId="1321" xr:uid="{F16C1D83-AC73-4C64-99FE-BE8AF41BC167}"/>
    <cellStyle name="Normal 5 2 2 4 11" xfId="10687" xr:uid="{5BBA5F0A-E224-4EEA-9036-E14F4404A7DD}"/>
    <cellStyle name="Normal 5 2 2 4 2" xfId="425" xr:uid="{00000000-0005-0000-0000-0000EE020000}"/>
    <cellStyle name="Normal 5 2 2 4 2 10" xfId="10688" xr:uid="{AC20711D-BF4B-4088-A514-D7231CE8AEAF}"/>
    <cellStyle name="Normal 5 2 2 4 2 2" xfId="904" xr:uid="{00000000-0005-0000-0000-0000EF020000}"/>
    <cellStyle name="Normal 5 2 2 4 2 2 2" xfId="4796" xr:uid="{C7096FE2-9D43-41C2-AA8F-D5E9E651F18C}"/>
    <cellStyle name="Normal 5 2 2 4 2 2 2 2" xfId="9014" xr:uid="{D6EA4D9D-2A8E-4D03-93D5-785B3AA23AE4}"/>
    <cellStyle name="Normal 5 2 2 4 2 2 3" xfId="6869" xr:uid="{8D72DAC1-E779-41FC-A4DC-44C5C172A40F}"/>
    <cellStyle name="Normal 5 2 2 4 2 2 4" xfId="2567" xr:uid="{00EF2600-F0D8-4A0A-B533-68389911A902}"/>
    <cellStyle name="Normal 5 2 2 4 2 2 5" xfId="1738" xr:uid="{95BE7EEF-6D90-45E0-9E88-965A1F2E7C60}"/>
    <cellStyle name="Normal 5 2 2 4 2 2 6" xfId="11104" xr:uid="{9C948100-9E31-4CC0-9DE6-35E8D99C6880}"/>
    <cellStyle name="Normal 5 2 2 4 2 3" xfId="2980" xr:uid="{622F2A9C-139B-43F8-B99D-137DDA8EFA24}"/>
    <cellStyle name="Normal 5 2 2 4 2 3 2" xfId="5209" xr:uid="{FF87FD06-81ED-49B9-8ED3-70762116BDF6}"/>
    <cellStyle name="Normal 5 2 2 4 2 3 2 2" xfId="9427" xr:uid="{A4D05F21-A7D7-4133-BDAD-32DF529B1556}"/>
    <cellStyle name="Normal 5 2 2 4 2 3 3" xfId="7282" xr:uid="{BDC6F7D2-3047-4967-A3B4-769C9A01B3C9}"/>
    <cellStyle name="Normal 5 2 2 4 2 4" xfId="3393" xr:uid="{A09FC25E-7E40-4E27-BCFF-183B33A6C34F}"/>
    <cellStyle name="Normal 5 2 2 4 2 4 2" xfId="5622" xr:uid="{FEEBB3AE-D487-4855-97DD-22A4B41A5B33}"/>
    <cellStyle name="Normal 5 2 2 4 2 4 2 2" xfId="9840" xr:uid="{4EB446D3-E19D-46CD-85F3-9657C1D31737}"/>
    <cellStyle name="Normal 5 2 2 4 2 4 3" xfId="7695" xr:uid="{86A39728-F564-4C10-BBE4-F828803D852A}"/>
    <cellStyle name="Normal 5 2 2 4 2 5" xfId="3806" xr:uid="{75DD7AC1-F6E6-49AD-9DA6-9276BE6E61B4}"/>
    <cellStyle name="Normal 5 2 2 4 2 5 2" xfId="6035" xr:uid="{41E5141B-C39E-4035-9B61-D6A3394F72D1}"/>
    <cellStyle name="Normal 5 2 2 4 2 5 2 2" xfId="10253" xr:uid="{E6200193-238D-4761-98A2-D7C6034F040C}"/>
    <cellStyle name="Normal 5 2 2 4 2 5 3" xfId="8108" xr:uid="{4A36EAFA-3738-481B-9B43-EC6007746825}"/>
    <cellStyle name="Normal 5 2 2 4 2 6" xfId="4242" xr:uid="{84B7704B-702B-4E4F-9603-48CA3C15123B}"/>
    <cellStyle name="Normal 5 2 2 4 2 6 2" xfId="8521" xr:uid="{FBA7BAD1-A668-46F7-8208-C66A52B28E7B}"/>
    <cellStyle name="Normal 5 2 2 4 2 7" xfId="6456" xr:uid="{FC1D884D-4A1A-4C13-9C04-8A88B23A57A1}"/>
    <cellStyle name="Normal 5 2 2 4 2 8" xfId="2152" xr:uid="{95C96FDB-DE38-4682-AAF4-6D70861124B9}"/>
    <cellStyle name="Normal 5 2 2 4 2 9" xfId="1322" xr:uid="{31A6EBF3-39A6-468B-85A4-DF5AD0312DC9}"/>
    <cellStyle name="Normal 5 2 2 4 3" xfId="903" xr:uid="{00000000-0005-0000-0000-0000F0020000}"/>
    <cellStyle name="Normal 5 2 2 4 3 2" xfId="4795" xr:uid="{E5267889-E5BB-4859-8716-E4FFAF4290C2}"/>
    <cellStyle name="Normal 5 2 2 4 3 2 2" xfId="9013" xr:uid="{1B2F5D04-1078-4920-A2B5-88703FA237A6}"/>
    <cellStyle name="Normal 5 2 2 4 3 3" xfId="6868" xr:uid="{FDD7E05D-611E-4962-AFF5-5820321C8164}"/>
    <cellStyle name="Normal 5 2 2 4 3 4" xfId="2566" xr:uid="{3849A035-EA2D-4BC0-9E58-E9278E00CFAC}"/>
    <cellStyle name="Normal 5 2 2 4 3 5" xfId="1737" xr:uid="{349C188E-CE05-44E5-A419-66CAC01160A6}"/>
    <cellStyle name="Normal 5 2 2 4 3 6" xfId="11103" xr:uid="{D69E3315-4907-4D47-8B9C-961F227A59F6}"/>
    <cellStyle name="Normal 5 2 2 4 4" xfId="2979" xr:uid="{43995C7C-2EF0-4C92-88AC-86CA6CF86E0B}"/>
    <cellStyle name="Normal 5 2 2 4 4 2" xfId="5208" xr:uid="{52F31BB4-FC4D-4033-A503-B6FB914E348A}"/>
    <cellStyle name="Normal 5 2 2 4 4 2 2" xfId="9426" xr:uid="{9A76F507-8E76-46F0-B607-C7E98B6117FC}"/>
    <cellStyle name="Normal 5 2 2 4 4 3" xfId="7281" xr:uid="{9A1BE2D6-B983-45F0-B4F7-D594993B44FD}"/>
    <cellStyle name="Normal 5 2 2 4 5" xfId="3392" xr:uid="{5937701D-19E7-4F3F-9907-0A014800F7AA}"/>
    <cellStyle name="Normal 5 2 2 4 5 2" xfId="5621" xr:uid="{8F2FD69D-16E9-4123-A342-326528EFDECD}"/>
    <cellStyle name="Normal 5 2 2 4 5 2 2" xfId="9839" xr:uid="{CA40218E-CDC7-4F8D-866A-9AEC009093C2}"/>
    <cellStyle name="Normal 5 2 2 4 5 3" xfId="7694" xr:uid="{29B28AFF-0E53-40E8-9DFD-FB016CDA1C40}"/>
    <cellStyle name="Normal 5 2 2 4 6" xfId="3805" xr:uid="{5F234523-DB06-4A2E-9C95-F0236EDBECF5}"/>
    <cellStyle name="Normal 5 2 2 4 6 2" xfId="6034" xr:uid="{995DBF35-A414-4A5C-A6CF-6E63B8653189}"/>
    <cellStyle name="Normal 5 2 2 4 6 2 2" xfId="10252" xr:uid="{337BCAC0-9D0E-4BE5-A711-723A9777BB06}"/>
    <cellStyle name="Normal 5 2 2 4 6 3" xfId="8107" xr:uid="{0725B343-0528-40A0-83C1-71DB74CEDB91}"/>
    <cellStyle name="Normal 5 2 2 4 7" xfId="4241" xr:uid="{56AEE0AB-FC1D-460A-A2E0-8F5B8C34F7DC}"/>
    <cellStyle name="Normal 5 2 2 4 7 2" xfId="8520" xr:uid="{559481C5-01C0-41E8-9712-0244F652270A}"/>
    <cellStyle name="Normal 5 2 2 4 8" xfId="6455" xr:uid="{A54C772B-9004-446B-A3F8-63C7CB962897}"/>
    <cellStyle name="Normal 5 2 2 4 9" xfId="2151" xr:uid="{853F2DA3-A511-48CA-9C66-97B891287CFF}"/>
    <cellStyle name="Normal 5 2 2 5" xfId="426" xr:uid="{00000000-0005-0000-0000-0000F1020000}"/>
    <cellStyle name="Normal 5 2 2 5 10" xfId="10689" xr:uid="{43683DFC-B415-446B-A77C-1D256F56E1AF}"/>
    <cellStyle name="Normal 5 2 2 5 2" xfId="905" xr:uid="{00000000-0005-0000-0000-0000F2020000}"/>
    <cellStyle name="Normal 5 2 2 5 2 2" xfId="4797" xr:uid="{343983A4-AEF0-45D1-8938-713D90AAB4D8}"/>
    <cellStyle name="Normal 5 2 2 5 2 2 2" xfId="9015" xr:uid="{77311816-2D08-4F5F-BCE4-40F3DAB5404C}"/>
    <cellStyle name="Normal 5 2 2 5 2 3" xfId="6870" xr:uid="{6002564D-2266-4416-92A6-51B2E67DFE38}"/>
    <cellStyle name="Normal 5 2 2 5 2 4" xfId="2568" xr:uid="{51BE2858-B249-4CE0-BD14-7DB3BAE23D28}"/>
    <cellStyle name="Normal 5 2 2 5 2 5" xfId="1739" xr:uid="{6E207B9E-83B8-43D8-A4A2-5B5A52423EC9}"/>
    <cellStyle name="Normal 5 2 2 5 2 6" xfId="11105" xr:uid="{9DA2C856-4CF9-4BB3-A394-3EEDA1C4F7B1}"/>
    <cellStyle name="Normal 5 2 2 5 3" xfId="2981" xr:uid="{0F997965-8149-495D-A8DD-98E89A715894}"/>
    <cellStyle name="Normal 5 2 2 5 3 2" xfId="5210" xr:uid="{CF7EEB5B-C115-4F61-9FFD-BA98B70645F2}"/>
    <cellStyle name="Normal 5 2 2 5 3 2 2" xfId="9428" xr:uid="{10E60E4E-6BC2-451B-83D6-66975853F07B}"/>
    <cellStyle name="Normal 5 2 2 5 3 3" xfId="7283" xr:uid="{FEB49A77-E684-4160-AA2E-8C259EB938CC}"/>
    <cellStyle name="Normal 5 2 2 5 4" xfId="3394" xr:uid="{501B6E31-3CA3-4F96-9710-7E164007674D}"/>
    <cellStyle name="Normal 5 2 2 5 4 2" xfId="5623" xr:uid="{034E0164-8304-4442-B6A4-028FEB5AC136}"/>
    <cellStyle name="Normal 5 2 2 5 4 2 2" xfId="9841" xr:uid="{7C75ECD1-DA2A-48EF-A0C6-6E42C3C1C188}"/>
    <cellStyle name="Normal 5 2 2 5 4 3" xfId="7696" xr:uid="{CE889697-DE31-4FDF-A47A-BF82091E35DB}"/>
    <cellStyle name="Normal 5 2 2 5 5" xfId="3807" xr:uid="{4911B3DF-1458-4E04-996A-FC99C7024983}"/>
    <cellStyle name="Normal 5 2 2 5 5 2" xfId="6036" xr:uid="{883ECF8B-82FD-4A7C-8FBF-498FA76FD664}"/>
    <cellStyle name="Normal 5 2 2 5 5 2 2" xfId="10254" xr:uid="{90174616-1FB4-414C-B34F-CC0E0358D83E}"/>
    <cellStyle name="Normal 5 2 2 5 5 3" xfId="8109" xr:uid="{C5A840BC-2AFC-4CC0-9A02-0161D84B4AAC}"/>
    <cellStyle name="Normal 5 2 2 5 6" xfId="4243" xr:uid="{805D5934-B899-4112-9A2F-7788BEAC6E42}"/>
    <cellStyle name="Normal 5 2 2 5 6 2" xfId="8522" xr:uid="{74B4B790-EC3C-41C5-9C39-E8BF4BF55618}"/>
    <cellStyle name="Normal 5 2 2 5 7" xfId="6457" xr:uid="{BAEE40ED-51AC-42D3-8388-AC8842456D94}"/>
    <cellStyle name="Normal 5 2 2 5 8" xfId="2153" xr:uid="{5E650E66-8EC3-453A-BB96-40370513546C}"/>
    <cellStyle name="Normal 5 2 2 5 9" xfId="1323" xr:uid="{5D0A8D79-2E8F-4CA2-AE08-E30494A94AED}"/>
    <cellStyle name="Normal 5 2 2 6" xfId="890" xr:uid="{00000000-0005-0000-0000-0000F3020000}"/>
    <cellStyle name="Normal 5 2 2 6 2" xfId="4782" xr:uid="{D23A8729-65E0-4DDA-A598-5F9DE3E7A1E8}"/>
    <cellStyle name="Normal 5 2 2 6 2 2" xfId="9000" xr:uid="{22B79F99-FDBB-4895-84F9-C2DF7EBBC311}"/>
    <cellStyle name="Normal 5 2 2 6 3" xfId="6855" xr:uid="{9C4A8924-FE03-401B-A7FF-396641878D5B}"/>
    <cellStyle name="Normal 5 2 2 6 4" xfId="2553" xr:uid="{3C5A6EAB-B51C-410E-A32D-793449483B88}"/>
    <cellStyle name="Normal 5 2 2 6 5" xfId="1724" xr:uid="{32C0A406-0027-49CC-ACCB-F5CE9DA67B9F}"/>
    <cellStyle name="Normal 5 2 2 6 6" xfId="11090" xr:uid="{03C68A87-99D1-49FF-B6BB-E9CECC010133}"/>
    <cellStyle name="Normal 5 2 2 7" xfId="2966" xr:uid="{1892CF2E-6C02-463E-9AB4-0C1BC8A03AAE}"/>
    <cellStyle name="Normal 5 2 2 7 2" xfId="5195" xr:uid="{4C8C5597-0002-440C-8CA0-94E845822EE7}"/>
    <cellStyle name="Normal 5 2 2 7 2 2" xfId="9413" xr:uid="{866AC82A-08A7-41E9-8F00-D06B833915EF}"/>
    <cellStyle name="Normal 5 2 2 7 3" xfId="7268" xr:uid="{7EAFBE98-EC0E-4995-BDB0-3B7135AB088B}"/>
    <cellStyle name="Normal 5 2 2 8" xfId="3379" xr:uid="{6C397B05-3B0A-46B0-B9CE-77FA685DFD4F}"/>
    <cellStyle name="Normal 5 2 2 8 2" xfId="5608" xr:uid="{6BDF7037-08CB-4D03-BE8B-714C0BFE62C9}"/>
    <cellStyle name="Normal 5 2 2 8 2 2" xfId="9826" xr:uid="{F2A3FD49-2A16-49C0-A7EE-0E8DD0BB3A2A}"/>
    <cellStyle name="Normal 5 2 2 8 3" xfId="7681" xr:uid="{6928D493-3F53-4673-B20F-8134DBFDD9B7}"/>
    <cellStyle name="Normal 5 2 2 9" xfId="3792" xr:uid="{9FC91B2B-C830-46D8-B6A4-4B31D95905FC}"/>
    <cellStyle name="Normal 5 2 2 9 2" xfId="6021" xr:uid="{662DD0DF-05E7-483A-A966-C6C18C33E1D0}"/>
    <cellStyle name="Normal 5 2 2 9 2 2" xfId="10239" xr:uid="{62EB9694-9C27-48FA-8125-AB0581EF4543}"/>
    <cellStyle name="Normal 5 2 2 9 3" xfId="8094" xr:uid="{74163086-95A8-4784-9C8E-4BB6FACF08E7}"/>
    <cellStyle name="Normal 5 2 3" xfId="427" xr:uid="{00000000-0005-0000-0000-0000F4020000}"/>
    <cellStyle name="Normal 5 2 3 10" xfId="6458" xr:uid="{BE624F48-ADD6-49C0-AAF4-94CADABD2F53}"/>
    <cellStyle name="Normal 5 2 3 11" xfId="2154" xr:uid="{3221CD70-BFB6-42DE-BD83-0F94D61530D5}"/>
    <cellStyle name="Normal 5 2 3 12" xfId="1324" xr:uid="{D8247322-F60C-42DC-BB2E-39F45317BDDC}"/>
    <cellStyle name="Normal 5 2 3 13" xfId="10690" xr:uid="{9F957D08-FA0E-4E81-B62C-363C5539648F}"/>
    <cellStyle name="Normal 5 2 3 2" xfId="428" xr:uid="{00000000-0005-0000-0000-0000F5020000}"/>
    <cellStyle name="Normal 5 2 3 2 10" xfId="2155" xr:uid="{3284A188-77CF-4A67-B974-6D1C7E1CB39E}"/>
    <cellStyle name="Normal 5 2 3 2 11" xfId="1325" xr:uid="{26C11CDC-2752-4921-B806-5F06037A8EDA}"/>
    <cellStyle name="Normal 5 2 3 2 12" xfId="10691" xr:uid="{12C7543D-6704-436E-B807-2DBAB5F1DCCE}"/>
    <cellStyle name="Normal 5 2 3 2 2" xfId="429" xr:uid="{00000000-0005-0000-0000-0000F6020000}"/>
    <cellStyle name="Normal 5 2 3 2 2 10" xfId="1326" xr:uid="{812A622C-9EFC-485C-8D21-01F3E26B0A81}"/>
    <cellStyle name="Normal 5 2 3 2 2 11" xfId="10692" xr:uid="{18889666-89CB-45C3-B4AE-310B9F72DC1B}"/>
    <cellStyle name="Normal 5 2 3 2 2 2" xfId="430" xr:uid="{00000000-0005-0000-0000-0000F7020000}"/>
    <cellStyle name="Normal 5 2 3 2 2 2 10" xfId="10693" xr:uid="{6C3F815F-DF32-4CB8-9B0A-DD5C452D1974}"/>
    <cellStyle name="Normal 5 2 3 2 2 2 2" xfId="909" xr:uid="{00000000-0005-0000-0000-0000F8020000}"/>
    <cellStyle name="Normal 5 2 3 2 2 2 2 2" xfId="4801" xr:uid="{CEAA1205-F0CF-4552-AA51-DB6DA1057C39}"/>
    <cellStyle name="Normal 5 2 3 2 2 2 2 2 2" xfId="9019" xr:uid="{0B287073-C968-4E7B-9BCE-105656ACE5BA}"/>
    <cellStyle name="Normal 5 2 3 2 2 2 2 3" xfId="6874" xr:uid="{1CBE082C-3125-4328-ACA4-0140AEC4EF60}"/>
    <cellStyle name="Normal 5 2 3 2 2 2 2 4" xfId="2572" xr:uid="{9980C02E-968C-4D3E-A374-FE2AC884CA59}"/>
    <cellStyle name="Normal 5 2 3 2 2 2 2 5" xfId="1743" xr:uid="{13A9F2F9-0DFF-42BE-91E4-4CCC68B120FC}"/>
    <cellStyle name="Normal 5 2 3 2 2 2 2 6" xfId="11109" xr:uid="{A5D1C173-AC77-4214-A243-44EAEFCD4909}"/>
    <cellStyle name="Normal 5 2 3 2 2 2 3" xfId="2985" xr:uid="{E953F715-C062-4871-8DAC-71DA359A55FF}"/>
    <cellStyle name="Normal 5 2 3 2 2 2 3 2" xfId="5214" xr:uid="{F684816C-52B4-49EE-A98F-A60725471E86}"/>
    <cellStyle name="Normal 5 2 3 2 2 2 3 2 2" xfId="9432" xr:uid="{2C0EE461-AD70-4FEE-9E71-52FC0882121B}"/>
    <cellStyle name="Normal 5 2 3 2 2 2 3 3" xfId="7287" xr:uid="{E92658CF-333C-4373-BAEC-3931FC5D0905}"/>
    <cellStyle name="Normal 5 2 3 2 2 2 4" xfId="3398" xr:uid="{7CD58096-8666-4A4B-8066-B47D8920BCD6}"/>
    <cellStyle name="Normal 5 2 3 2 2 2 4 2" xfId="5627" xr:uid="{47F74131-BFCF-4F67-98DC-39889143CFD6}"/>
    <cellStyle name="Normal 5 2 3 2 2 2 4 2 2" xfId="9845" xr:uid="{E96E0062-1AEA-4AE6-BFB7-09EDEE5C765E}"/>
    <cellStyle name="Normal 5 2 3 2 2 2 4 3" xfId="7700" xr:uid="{B8A885B9-393A-4270-A480-4DAF8CDFC332}"/>
    <cellStyle name="Normal 5 2 3 2 2 2 5" xfId="3811" xr:uid="{4D7E7619-DCE4-43E4-A575-206D07DB7272}"/>
    <cellStyle name="Normal 5 2 3 2 2 2 5 2" xfId="6040" xr:uid="{8684B4D5-7F51-47DF-A9BF-A179DED7AF8F}"/>
    <cellStyle name="Normal 5 2 3 2 2 2 5 2 2" xfId="10258" xr:uid="{3C894EFB-5DE3-4C1A-AF98-24901D02D535}"/>
    <cellStyle name="Normal 5 2 3 2 2 2 5 3" xfId="8113" xr:uid="{300D7387-4668-4181-B11C-8D1A4EBEA0B2}"/>
    <cellStyle name="Normal 5 2 3 2 2 2 6" xfId="4247" xr:uid="{A7613DE5-1200-4A37-8319-9320C9C41F96}"/>
    <cellStyle name="Normal 5 2 3 2 2 2 6 2" xfId="8526" xr:uid="{BA211342-1152-4E24-8725-2E974B259AB9}"/>
    <cellStyle name="Normal 5 2 3 2 2 2 7" xfId="6461" xr:uid="{ACAEE847-F9BF-4E46-BA73-5C81F0146562}"/>
    <cellStyle name="Normal 5 2 3 2 2 2 8" xfId="2157" xr:uid="{4FB436C7-566C-478C-8DA8-9969BF593BEE}"/>
    <cellStyle name="Normal 5 2 3 2 2 2 9" xfId="1327" xr:uid="{AC5449B0-A906-4DB2-92D9-C88DAD5C4D17}"/>
    <cellStyle name="Normal 5 2 3 2 2 3" xfId="908" xr:uid="{00000000-0005-0000-0000-0000F9020000}"/>
    <cellStyle name="Normal 5 2 3 2 2 3 2" xfId="4800" xr:uid="{71A037EA-9E0E-4255-A8F6-04E9D0A96C65}"/>
    <cellStyle name="Normal 5 2 3 2 2 3 2 2" xfId="9018" xr:uid="{C4200ACB-40A7-4B62-A091-E490E9B1B537}"/>
    <cellStyle name="Normal 5 2 3 2 2 3 3" xfId="6873" xr:uid="{918CB927-A256-434C-80E6-D21ABE7E4CF0}"/>
    <cellStyle name="Normal 5 2 3 2 2 3 4" xfId="2571" xr:uid="{9CEB9443-4581-4F9B-A79D-3E1A0112BD11}"/>
    <cellStyle name="Normal 5 2 3 2 2 3 5" xfId="1742" xr:uid="{F89153C2-21AF-4CDC-9B61-4C9CEA40E277}"/>
    <cellStyle name="Normal 5 2 3 2 2 3 6" xfId="11108" xr:uid="{66CB3AC5-D6E5-47CC-A504-CDDE5C96130D}"/>
    <cellStyle name="Normal 5 2 3 2 2 4" xfId="2984" xr:uid="{A6B9CD5A-AF73-4EB3-942E-9BD8D5895F40}"/>
    <cellStyle name="Normal 5 2 3 2 2 4 2" xfId="5213" xr:uid="{8B521E99-395E-4D56-BF5F-3222AFF5D183}"/>
    <cellStyle name="Normal 5 2 3 2 2 4 2 2" xfId="9431" xr:uid="{3BB4448C-AAC2-442D-84B3-62B312D81761}"/>
    <cellStyle name="Normal 5 2 3 2 2 4 3" xfId="7286" xr:uid="{116C8F2A-0363-415D-A1BF-5F6257D36C47}"/>
    <cellStyle name="Normal 5 2 3 2 2 5" xfId="3397" xr:uid="{A1E700FD-116C-4CB4-9B49-C29F5000AE8E}"/>
    <cellStyle name="Normal 5 2 3 2 2 5 2" xfId="5626" xr:uid="{4818905D-4F9C-4589-8B0C-E84E77078AF2}"/>
    <cellStyle name="Normal 5 2 3 2 2 5 2 2" xfId="9844" xr:uid="{EFA6C9ED-DFDA-4FC7-B2BF-6FD005BA085E}"/>
    <cellStyle name="Normal 5 2 3 2 2 5 3" xfId="7699" xr:uid="{92A75A63-F643-445F-9DD4-B0C5F83CD01E}"/>
    <cellStyle name="Normal 5 2 3 2 2 6" xfId="3810" xr:uid="{7CA5B488-C9A2-4878-8CB5-8BA8B30E004B}"/>
    <cellStyle name="Normal 5 2 3 2 2 6 2" xfId="6039" xr:uid="{FF7617D6-9964-450E-9843-E036737F8535}"/>
    <cellStyle name="Normal 5 2 3 2 2 6 2 2" xfId="10257" xr:uid="{6D1D93A4-9CB0-4A40-B4C4-BEEB3E6990D5}"/>
    <cellStyle name="Normal 5 2 3 2 2 6 3" xfId="8112" xr:uid="{378674D4-45AB-42B0-B954-52EA9955BAC8}"/>
    <cellStyle name="Normal 5 2 3 2 2 7" xfId="4246" xr:uid="{0E4A10A3-3EE1-4BD4-BE45-89AAC565C2E6}"/>
    <cellStyle name="Normal 5 2 3 2 2 7 2" xfId="8525" xr:uid="{D922D880-93A7-4B2C-A8F3-1D0032FB4109}"/>
    <cellStyle name="Normal 5 2 3 2 2 8" xfId="6460" xr:uid="{BFE847AD-8A3A-4D6A-8D32-784D26AA0138}"/>
    <cellStyle name="Normal 5 2 3 2 2 9" xfId="2156" xr:uid="{998F89EB-763C-41EA-85C2-7B80F407B828}"/>
    <cellStyle name="Normal 5 2 3 2 3" xfId="431" xr:uid="{00000000-0005-0000-0000-0000FA020000}"/>
    <cellStyle name="Normal 5 2 3 2 3 10" xfId="10694" xr:uid="{089F828F-9C2D-4E72-99F9-53C5F7803CCA}"/>
    <cellStyle name="Normal 5 2 3 2 3 2" xfId="910" xr:uid="{00000000-0005-0000-0000-0000FB020000}"/>
    <cellStyle name="Normal 5 2 3 2 3 2 2" xfId="4802" xr:uid="{89259125-2F1B-4726-B956-B7E09DE33253}"/>
    <cellStyle name="Normal 5 2 3 2 3 2 2 2" xfId="9020" xr:uid="{8C71B2B6-C21B-408B-B724-18A4B6F728AC}"/>
    <cellStyle name="Normal 5 2 3 2 3 2 3" xfId="6875" xr:uid="{AF4CE4E9-38FD-426F-A8AB-4CA4CFCD5766}"/>
    <cellStyle name="Normal 5 2 3 2 3 2 4" xfId="2573" xr:uid="{392DBBCD-8BA2-4D61-B045-2F9C4030E730}"/>
    <cellStyle name="Normal 5 2 3 2 3 2 5" xfId="1744" xr:uid="{2515FB5A-897D-4529-AAB4-7C24C4E155A8}"/>
    <cellStyle name="Normal 5 2 3 2 3 2 6" xfId="11110" xr:uid="{4AC9291B-190E-4D11-A2C4-35A357BE3536}"/>
    <cellStyle name="Normal 5 2 3 2 3 3" xfId="2986" xr:uid="{504FB55B-6201-446D-AA19-1D6B9572D547}"/>
    <cellStyle name="Normal 5 2 3 2 3 3 2" xfId="5215" xr:uid="{3638A959-9CE4-4C77-A506-1681B22E226B}"/>
    <cellStyle name="Normal 5 2 3 2 3 3 2 2" xfId="9433" xr:uid="{942259AA-CF25-4F1B-AC28-60FA182343BD}"/>
    <cellStyle name="Normal 5 2 3 2 3 3 3" xfId="7288" xr:uid="{9773F04C-C097-4020-AC70-5C3052E89EC6}"/>
    <cellStyle name="Normal 5 2 3 2 3 4" xfId="3399" xr:uid="{3E99C348-5053-4DB8-B147-7D86D7493C1E}"/>
    <cellStyle name="Normal 5 2 3 2 3 4 2" xfId="5628" xr:uid="{B68E37BB-ED3E-4E4E-9A6B-CA393BE5B50E}"/>
    <cellStyle name="Normal 5 2 3 2 3 4 2 2" xfId="9846" xr:uid="{8F65D10F-B899-4423-BE45-979848970761}"/>
    <cellStyle name="Normal 5 2 3 2 3 4 3" xfId="7701" xr:uid="{12108A7D-15B9-459E-BEDC-9C86EB836FFD}"/>
    <cellStyle name="Normal 5 2 3 2 3 5" xfId="3812" xr:uid="{C3ED16F3-A02D-46CC-927E-386624FAA39D}"/>
    <cellStyle name="Normal 5 2 3 2 3 5 2" xfId="6041" xr:uid="{318A2B45-BD90-476C-8B84-F6BDF6048E16}"/>
    <cellStyle name="Normal 5 2 3 2 3 5 2 2" xfId="10259" xr:uid="{F2A5399A-DED8-4507-B21B-7B7E8E365B7A}"/>
    <cellStyle name="Normal 5 2 3 2 3 5 3" xfId="8114" xr:uid="{4058A377-F709-4FD4-9715-87BEB6AA89B3}"/>
    <cellStyle name="Normal 5 2 3 2 3 6" xfId="4248" xr:uid="{BB4442B8-B4F3-4A89-AC53-D3CA32B63343}"/>
    <cellStyle name="Normal 5 2 3 2 3 6 2" xfId="8527" xr:uid="{77E92BDA-BE5C-44C6-8C20-2922AB81B464}"/>
    <cellStyle name="Normal 5 2 3 2 3 7" xfId="6462" xr:uid="{1B2D7376-A776-4EE0-919A-71B2C0A879E9}"/>
    <cellStyle name="Normal 5 2 3 2 3 8" xfId="2158" xr:uid="{3064CC0A-3DF1-4B94-8F37-79EACD219F7B}"/>
    <cellStyle name="Normal 5 2 3 2 3 9" xfId="1328" xr:uid="{47350281-072D-4F5A-9AD5-1167B06201F2}"/>
    <cellStyle name="Normal 5 2 3 2 4" xfId="907" xr:uid="{00000000-0005-0000-0000-0000FC020000}"/>
    <cellStyle name="Normal 5 2 3 2 4 2" xfId="4799" xr:uid="{BAAEDB16-5457-4851-8A70-425DC1FE0554}"/>
    <cellStyle name="Normal 5 2 3 2 4 2 2" xfId="9017" xr:uid="{03597286-E537-4283-B0C9-0D0651E6A682}"/>
    <cellStyle name="Normal 5 2 3 2 4 3" xfId="6872" xr:uid="{650FED9A-8B60-4115-AA8E-5657B6EF67B5}"/>
    <cellStyle name="Normal 5 2 3 2 4 4" xfId="2570" xr:uid="{DEAC3860-DA3A-4A94-BEE0-DCBAA11D40EB}"/>
    <cellStyle name="Normal 5 2 3 2 4 5" xfId="1741" xr:uid="{28D236FF-4E45-4540-8C02-C87BDC4E995F}"/>
    <cellStyle name="Normal 5 2 3 2 4 6" xfId="11107" xr:uid="{188A6508-80DB-4D9B-B31F-ED64B464BB2C}"/>
    <cellStyle name="Normal 5 2 3 2 5" xfId="2983" xr:uid="{A69225A2-21E0-4625-B106-8F0E92F12BA9}"/>
    <cellStyle name="Normal 5 2 3 2 5 2" xfId="5212" xr:uid="{E4DCAAFE-3CEA-4398-8EFE-4FF45C7420F7}"/>
    <cellStyle name="Normal 5 2 3 2 5 2 2" xfId="9430" xr:uid="{633921F9-392E-4C80-8209-78255EF156F7}"/>
    <cellStyle name="Normal 5 2 3 2 5 3" xfId="7285" xr:uid="{ACBC40C9-C57D-4393-A088-C74056608E45}"/>
    <cellStyle name="Normal 5 2 3 2 6" xfId="3396" xr:uid="{0985E373-3E14-4853-B980-10055B7D3095}"/>
    <cellStyle name="Normal 5 2 3 2 6 2" xfId="5625" xr:uid="{62D00A25-BFB5-4B1C-8E93-FB1544AF4C45}"/>
    <cellStyle name="Normal 5 2 3 2 6 2 2" xfId="9843" xr:uid="{429A8BC9-923B-480A-B548-C8C23A3A19EF}"/>
    <cellStyle name="Normal 5 2 3 2 6 3" xfId="7698" xr:uid="{FA041063-75CD-4EEF-B3CC-47096924F941}"/>
    <cellStyle name="Normal 5 2 3 2 7" xfId="3809" xr:uid="{C2ADA725-BBCE-42C5-8F9B-44A7D81C33B6}"/>
    <cellStyle name="Normal 5 2 3 2 7 2" xfId="6038" xr:uid="{26554810-6164-475B-AADC-CA0C8B0A692E}"/>
    <cellStyle name="Normal 5 2 3 2 7 2 2" xfId="10256" xr:uid="{4CF47E68-7E79-4CAB-95F5-553A2D326958}"/>
    <cellStyle name="Normal 5 2 3 2 7 3" xfId="8111" xr:uid="{E221EEE9-5E88-4E5C-B797-12F839C09ADA}"/>
    <cellStyle name="Normal 5 2 3 2 8" xfId="4245" xr:uid="{8A530A9E-63D2-4B7A-B213-F9933EF1A283}"/>
    <cellStyle name="Normal 5 2 3 2 8 2" xfId="8524" xr:uid="{E57063BA-B42F-4C47-872D-82CFD0C8F498}"/>
    <cellStyle name="Normal 5 2 3 2 9" xfId="6459" xr:uid="{A0B132BC-A8BB-431A-9CBD-3F899CF81526}"/>
    <cellStyle name="Normal 5 2 3 3" xfId="432" xr:uid="{00000000-0005-0000-0000-0000FD020000}"/>
    <cellStyle name="Normal 5 2 3 3 10" xfId="1329" xr:uid="{A9C4E98D-894A-41A2-8CB3-C2736D0C3A78}"/>
    <cellStyle name="Normal 5 2 3 3 11" xfId="10695" xr:uid="{3638ECE6-9AC0-45C7-A8E5-716BD4FDE137}"/>
    <cellStyle name="Normal 5 2 3 3 2" xfId="433" xr:uid="{00000000-0005-0000-0000-0000FE020000}"/>
    <cellStyle name="Normal 5 2 3 3 2 10" xfId="10696" xr:uid="{69CDBE63-FA17-4F82-8D8F-7C5B5BE151D3}"/>
    <cellStyle name="Normal 5 2 3 3 2 2" xfId="912" xr:uid="{00000000-0005-0000-0000-0000FF020000}"/>
    <cellStyle name="Normal 5 2 3 3 2 2 2" xfId="4804" xr:uid="{1541D202-69F9-425A-A77C-119CEEF2AA0C}"/>
    <cellStyle name="Normal 5 2 3 3 2 2 2 2" xfId="9022" xr:uid="{00F4603D-220B-4A3E-852D-461E8ED88D86}"/>
    <cellStyle name="Normal 5 2 3 3 2 2 3" xfId="6877" xr:uid="{56403165-B5A2-4A72-880F-5BA3FDC8F734}"/>
    <cellStyle name="Normal 5 2 3 3 2 2 4" xfId="2575" xr:uid="{86BF02E1-67FE-4397-84FD-AA386F10FEA7}"/>
    <cellStyle name="Normal 5 2 3 3 2 2 5" xfId="1746" xr:uid="{B0F3058C-9657-46DA-AD6C-B1F7C8BF4DF6}"/>
    <cellStyle name="Normal 5 2 3 3 2 2 6" xfId="11112" xr:uid="{5DD064AB-65B7-47BA-A002-F81DBFCF8781}"/>
    <cellStyle name="Normal 5 2 3 3 2 3" xfId="2988" xr:uid="{8659CCD4-F67C-44CF-966E-0D1CF7829B63}"/>
    <cellStyle name="Normal 5 2 3 3 2 3 2" xfId="5217" xr:uid="{CC911827-3B75-45B1-A8A8-C8AB13F8F78E}"/>
    <cellStyle name="Normal 5 2 3 3 2 3 2 2" xfId="9435" xr:uid="{F3CB3C8B-DF37-4079-973D-442D264C1573}"/>
    <cellStyle name="Normal 5 2 3 3 2 3 3" xfId="7290" xr:uid="{EA0B2579-6C27-4FFA-A2CB-5ADDCBD7D691}"/>
    <cellStyle name="Normal 5 2 3 3 2 4" xfId="3401" xr:uid="{3C5320F8-4117-4B5D-8C95-B70CC063FD67}"/>
    <cellStyle name="Normal 5 2 3 3 2 4 2" xfId="5630" xr:uid="{06CCF064-C347-4CD1-94C3-D6F2473B5D97}"/>
    <cellStyle name="Normal 5 2 3 3 2 4 2 2" xfId="9848" xr:uid="{BA98B60D-0F08-46BA-8F49-17BB502B55BC}"/>
    <cellStyle name="Normal 5 2 3 3 2 4 3" xfId="7703" xr:uid="{E8B93F40-D1A8-4C4D-A9F2-1921B7B0510C}"/>
    <cellStyle name="Normal 5 2 3 3 2 5" xfId="3814" xr:uid="{234B6DEB-04CC-40A4-BBE3-FD95806605B3}"/>
    <cellStyle name="Normal 5 2 3 3 2 5 2" xfId="6043" xr:uid="{3F667033-8637-4EC1-824A-EAFEA4219474}"/>
    <cellStyle name="Normal 5 2 3 3 2 5 2 2" xfId="10261" xr:uid="{188020E7-F4AD-41C8-8FF2-3DD962678A24}"/>
    <cellStyle name="Normal 5 2 3 3 2 5 3" xfId="8116" xr:uid="{30088BE9-A080-47E3-BDBF-34F259227942}"/>
    <cellStyle name="Normal 5 2 3 3 2 6" xfId="4250" xr:uid="{143504AC-E409-4596-9191-047054D94643}"/>
    <cellStyle name="Normal 5 2 3 3 2 6 2" xfId="8529" xr:uid="{E2077A4A-F79E-4FC7-9703-E9905D5FF685}"/>
    <cellStyle name="Normal 5 2 3 3 2 7" xfId="6464" xr:uid="{7764412A-8384-4E53-BBDB-FD291BC5B706}"/>
    <cellStyle name="Normal 5 2 3 3 2 8" xfId="2160" xr:uid="{F4CDBF7C-F84B-4F54-9AD8-FCDB22C899A1}"/>
    <cellStyle name="Normal 5 2 3 3 2 9" xfId="1330" xr:uid="{A42747AF-2401-4FC5-9B2B-92776295CD33}"/>
    <cellStyle name="Normal 5 2 3 3 3" xfId="911" xr:uid="{00000000-0005-0000-0000-000000030000}"/>
    <cellStyle name="Normal 5 2 3 3 3 2" xfId="4803" xr:uid="{040B06CA-C023-4B9A-92E1-E84E0A665DE7}"/>
    <cellStyle name="Normal 5 2 3 3 3 2 2" xfId="9021" xr:uid="{316F9CB3-37F4-45F8-989E-40E47E88ED93}"/>
    <cellStyle name="Normal 5 2 3 3 3 3" xfId="6876" xr:uid="{E6A78D55-D1EB-40F4-8024-8E8601F12591}"/>
    <cellStyle name="Normal 5 2 3 3 3 4" xfId="2574" xr:uid="{31DE43B7-3EAC-4CBA-A9E2-A051F02DFC88}"/>
    <cellStyle name="Normal 5 2 3 3 3 5" xfId="1745" xr:uid="{FA8CB5A6-BC27-43AB-A338-FE63B392FB1D}"/>
    <cellStyle name="Normal 5 2 3 3 3 6" xfId="11111" xr:uid="{2553EBC3-7411-438B-9AC4-898C08D4DB48}"/>
    <cellStyle name="Normal 5 2 3 3 4" xfId="2987" xr:uid="{115FCF91-232D-45D7-8A80-0D398FF800F5}"/>
    <cellStyle name="Normal 5 2 3 3 4 2" xfId="5216" xr:uid="{077BB828-9B51-467C-BBF0-6038D2F9D7FF}"/>
    <cellStyle name="Normal 5 2 3 3 4 2 2" xfId="9434" xr:uid="{2E9CB24A-EBAF-470F-8A9D-7F9DA7109CCC}"/>
    <cellStyle name="Normal 5 2 3 3 4 3" xfId="7289" xr:uid="{F0E97661-C5D4-4D5C-8077-47D20EAACB2C}"/>
    <cellStyle name="Normal 5 2 3 3 5" xfId="3400" xr:uid="{4E10049C-AED1-4C3F-9BA8-4F7D96BADAA6}"/>
    <cellStyle name="Normal 5 2 3 3 5 2" xfId="5629" xr:uid="{FC761FF5-B064-4EEC-9953-AEB089E5DDBD}"/>
    <cellStyle name="Normal 5 2 3 3 5 2 2" xfId="9847" xr:uid="{957CDE0F-C407-4328-AFE0-42421474B3AE}"/>
    <cellStyle name="Normal 5 2 3 3 5 3" xfId="7702" xr:uid="{C20F7AFC-9178-4717-8391-7F6F854653B1}"/>
    <cellStyle name="Normal 5 2 3 3 6" xfId="3813" xr:uid="{A595299A-27F7-4160-BACC-81F5216FAC94}"/>
    <cellStyle name="Normal 5 2 3 3 6 2" xfId="6042" xr:uid="{11535279-126F-43CE-91ED-F7FA2A45C4A8}"/>
    <cellStyle name="Normal 5 2 3 3 6 2 2" xfId="10260" xr:uid="{B391577D-FA3F-468A-AE21-82A8C3BF0C51}"/>
    <cellStyle name="Normal 5 2 3 3 6 3" xfId="8115" xr:uid="{CE9201EC-53D3-4253-A583-DA3A4769BEDB}"/>
    <cellStyle name="Normal 5 2 3 3 7" xfId="4249" xr:uid="{32F72660-1417-4F9B-AF5C-AC75E8EF35AE}"/>
    <cellStyle name="Normal 5 2 3 3 7 2" xfId="8528" xr:uid="{EC8699F1-948D-4E68-BCEF-005DC0F6B2E1}"/>
    <cellStyle name="Normal 5 2 3 3 8" xfId="6463" xr:uid="{AFDDC84B-4011-4903-9A29-6490B2E37D7B}"/>
    <cellStyle name="Normal 5 2 3 3 9" xfId="2159" xr:uid="{CFE6C923-9EDA-4AB0-BECC-7FC8E8CE5E2A}"/>
    <cellStyle name="Normal 5 2 3 4" xfId="434" xr:uid="{00000000-0005-0000-0000-000001030000}"/>
    <cellStyle name="Normal 5 2 3 4 10" xfId="10697" xr:uid="{4A802AA5-7C2A-49E8-9DBF-090642ABD82A}"/>
    <cellStyle name="Normal 5 2 3 4 2" xfId="913" xr:uid="{00000000-0005-0000-0000-000002030000}"/>
    <cellStyle name="Normal 5 2 3 4 2 2" xfId="4805" xr:uid="{E226C504-5A5C-4B7E-8406-9AAD0B943B3E}"/>
    <cellStyle name="Normal 5 2 3 4 2 2 2" xfId="9023" xr:uid="{F6E8B7BF-E9BD-47D7-8194-F6B3923E1E17}"/>
    <cellStyle name="Normal 5 2 3 4 2 3" xfId="6878" xr:uid="{65CEEC61-CF9D-4C1E-8EB0-80C5ABAE6C97}"/>
    <cellStyle name="Normal 5 2 3 4 2 4" xfId="2576" xr:uid="{057F1FA0-096F-44D9-BD0B-122029EBFF88}"/>
    <cellStyle name="Normal 5 2 3 4 2 5" xfId="1747" xr:uid="{40B9C277-00DF-49C7-89DB-E7E49998A8B3}"/>
    <cellStyle name="Normal 5 2 3 4 2 6" xfId="11113" xr:uid="{53D99B05-58FE-4611-952B-90E46B958E45}"/>
    <cellStyle name="Normal 5 2 3 4 3" xfId="2989" xr:uid="{D6832D80-96D3-4263-9544-74AFD53D8715}"/>
    <cellStyle name="Normal 5 2 3 4 3 2" xfId="5218" xr:uid="{75342566-AB60-4D12-8A68-303A26E9C976}"/>
    <cellStyle name="Normal 5 2 3 4 3 2 2" xfId="9436" xr:uid="{62BFE6C6-0DC3-49D1-9C92-291C5881E67C}"/>
    <cellStyle name="Normal 5 2 3 4 3 3" xfId="7291" xr:uid="{8366B24E-C36E-4E3B-A9C0-49E52DF05409}"/>
    <cellStyle name="Normal 5 2 3 4 4" xfId="3402" xr:uid="{A48BDE86-0D9E-4006-A9CD-A1D231DA06FE}"/>
    <cellStyle name="Normal 5 2 3 4 4 2" xfId="5631" xr:uid="{0A169005-928A-4C5B-9BB3-4668E70C4492}"/>
    <cellStyle name="Normal 5 2 3 4 4 2 2" xfId="9849" xr:uid="{964BD782-068A-43EE-9A91-111BF5BF25C7}"/>
    <cellStyle name="Normal 5 2 3 4 4 3" xfId="7704" xr:uid="{DD744C9F-986C-409E-B02F-7452159F17DE}"/>
    <cellStyle name="Normal 5 2 3 4 5" xfId="3815" xr:uid="{35A90370-BFD7-4892-B9C3-66C6D0D7F494}"/>
    <cellStyle name="Normal 5 2 3 4 5 2" xfId="6044" xr:uid="{81E9FFE0-C163-4B68-A05E-A333F86E28EF}"/>
    <cellStyle name="Normal 5 2 3 4 5 2 2" xfId="10262" xr:uid="{0CCDCDB9-26EB-4F74-BB4B-55727422D89F}"/>
    <cellStyle name="Normal 5 2 3 4 5 3" xfId="8117" xr:uid="{967EDC26-FC44-4FCB-B0E1-B6906B5AD18D}"/>
    <cellStyle name="Normal 5 2 3 4 6" xfId="4251" xr:uid="{0CD2D090-0A79-4A69-A723-6847BA6C2B37}"/>
    <cellStyle name="Normal 5 2 3 4 6 2" xfId="8530" xr:uid="{B620245E-785C-4016-A983-454579CB235F}"/>
    <cellStyle name="Normal 5 2 3 4 7" xfId="6465" xr:uid="{BAA61B72-6D03-493C-B24E-ED6AD4C862F1}"/>
    <cellStyle name="Normal 5 2 3 4 8" xfId="2161" xr:uid="{C0212558-6DC6-42B4-8CEB-C10CC9F49D4F}"/>
    <cellStyle name="Normal 5 2 3 4 9" xfId="1331" xr:uid="{8B85B912-C2F6-4758-B32A-945E757CBDEA}"/>
    <cellStyle name="Normal 5 2 3 5" xfId="906" xr:uid="{00000000-0005-0000-0000-000003030000}"/>
    <cellStyle name="Normal 5 2 3 5 2" xfId="4798" xr:uid="{F2CA27C2-811D-4AD2-B7D2-3FF8F87D51A9}"/>
    <cellStyle name="Normal 5 2 3 5 2 2" xfId="9016" xr:uid="{55A0D054-B68A-4A20-B32E-FA62F7A34F50}"/>
    <cellStyle name="Normal 5 2 3 5 3" xfId="6871" xr:uid="{4691CC25-B042-43DB-927B-A6AE2C28F428}"/>
    <cellStyle name="Normal 5 2 3 5 4" xfId="2569" xr:uid="{4DD4EEDE-EB85-43A9-A9A0-F84E792BB844}"/>
    <cellStyle name="Normal 5 2 3 5 5" xfId="1740" xr:uid="{AAFE29EE-757E-4FE1-85C4-82D8CC578301}"/>
    <cellStyle name="Normal 5 2 3 5 6" xfId="11106" xr:uid="{C7C9290A-5F61-40AB-95E6-F06E85A1D293}"/>
    <cellStyle name="Normal 5 2 3 6" xfId="2982" xr:uid="{4692F874-4D5C-44CE-B4D2-4CEBB4ADF133}"/>
    <cellStyle name="Normal 5 2 3 6 2" xfId="5211" xr:uid="{3C379804-AA28-45AC-8695-F3F7B84CDE14}"/>
    <cellStyle name="Normal 5 2 3 6 2 2" xfId="9429" xr:uid="{3128C04C-0F4B-4CFF-8FF5-80462BF45B99}"/>
    <cellStyle name="Normal 5 2 3 6 3" xfId="7284" xr:uid="{277D54FF-55A9-40A0-B169-0EFC5C194B1E}"/>
    <cellStyle name="Normal 5 2 3 7" xfId="3395" xr:uid="{3234FEE7-2DAD-49C2-B003-3DBDDCFE3ADD}"/>
    <cellStyle name="Normal 5 2 3 7 2" xfId="5624" xr:uid="{07BCF5A8-6EF2-4FF4-AAF0-BE09F43A4854}"/>
    <cellStyle name="Normal 5 2 3 7 2 2" xfId="9842" xr:uid="{385EE876-F9D3-4309-8FAB-2237F2CAA7C7}"/>
    <cellStyle name="Normal 5 2 3 7 3" xfId="7697" xr:uid="{8DDBDA12-09D7-41AF-8C8A-588699EECD13}"/>
    <cellStyle name="Normal 5 2 3 8" xfId="3808" xr:uid="{FE42A973-C122-4F9C-BA58-2DA1E49F5276}"/>
    <cellStyle name="Normal 5 2 3 8 2" xfId="6037" xr:uid="{33FA518F-B837-4567-9611-F92C6D883346}"/>
    <cellStyle name="Normal 5 2 3 8 2 2" xfId="10255" xr:uid="{F9890BEA-5D07-4098-AA5D-1F88EBA87C5E}"/>
    <cellStyle name="Normal 5 2 3 8 3" xfId="8110" xr:uid="{950EF4DA-6DD4-4971-9ECA-A0F3C6D1F673}"/>
    <cellStyle name="Normal 5 2 3 9" xfId="4244" xr:uid="{4C8F359A-FAAB-4A0B-BCE8-343AA960E6E0}"/>
    <cellStyle name="Normal 5 2 3 9 2" xfId="8523" xr:uid="{3CBBB21C-9ABE-4081-87BB-C2BA34DD5831}"/>
    <cellStyle name="Normal 5 2 4" xfId="435" xr:uid="{00000000-0005-0000-0000-000004030000}"/>
    <cellStyle name="Normal 5 2 4 10" xfId="2162" xr:uid="{002CF2CE-8D32-49EE-94CB-AFF6B4A241C1}"/>
    <cellStyle name="Normal 5 2 4 11" xfId="1332" xr:uid="{91A0FDC0-8F01-4100-871E-3E9EBE49715B}"/>
    <cellStyle name="Normal 5 2 4 12" xfId="10698" xr:uid="{FAA813AE-6863-40A1-B7A1-226D6989E3B0}"/>
    <cellStyle name="Normal 5 2 4 2" xfId="436" xr:uid="{00000000-0005-0000-0000-000005030000}"/>
    <cellStyle name="Normal 5 2 4 2 10" xfId="1333" xr:uid="{E3BF95F6-B227-41FB-8181-05D7727D05CE}"/>
    <cellStyle name="Normal 5 2 4 2 11" xfId="10699" xr:uid="{450953EF-C837-491D-A70E-5E6B7A3DC332}"/>
    <cellStyle name="Normal 5 2 4 2 2" xfId="437" xr:uid="{00000000-0005-0000-0000-000006030000}"/>
    <cellStyle name="Normal 5 2 4 2 2 10" xfId="10700" xr:uid="{EEEC371B-D001-4D14-892B-7627C82AD2A1}"/>
    <cellStyle name="Normal 5 2 4 2 2 2" xfId="916" xr:uid="{00000000-0005-0000-0000-000007030000}"/>
    <cellStyle name="Normal 5 2 4 2 2 2 2" xfId="4808" xr:uid="{9B3F46FC-CB94-489E-9A39-CCFA7F32205C}"/>
    <cellStyle name="Normal 5 2 4 2 2 2 2 2" xfId="9026" xr:uid="{EEC947D8-AE2F-42F2-B3EF-A41B6DE632FB}"/>
    <cellStyle name="Normal 5 2 4 2 2 2 3" xfId="6881" xr:uid="{739A1841-6031-4902-8A01-06DBFF1BA88F}"/>
    <cellStyle name="Normal 5 2 4 2 2 2 4" xfId="2579" xr:uid="{F838FB49-29BD-4597-8864-7807A5B48897}"/>
    <cellStyle name="Normal 5 2 4 2 2 2 5" xfId="1750" xr:uid="{57FF310C-9D0B-4973-A6C8-59C704BCBF64}"/>
    <cellStyle name="Normal 5 2 4 2 2 2 6" xfId="11116" xr:uid="{06A94557-2550-4E71-955F-951F15D9E1F4}"/>
    <cellStyle name="Normal 5 2 4 2 2 3" xfId="2992" xr:uid="{489AA4AB-42E5-4A3A-9738-4B7C5ED5ED60}"/>
    <cellStyle name="Normal 5 2 4 2 2 3 2" xfId="5221" xr:uid="{8EEE4CC3-6399-4AA8-93BF-D10E29EDA168}"/>
    <cellStyle name="Normal 5 2 4 2 2 3 2 2" xfId="9439" xr:uid="{FA6376ED-4EC7-483F-8CC4-1EDB554A1ACE}"/>
    <cellStyle name="Normal 5 2 4 2 2 3 3" xfId="7294" xr:uid="{06DE8F52-AEAC-48BF-877A-35FD81BFD353}"/>
    <cellStyle name="Normal 5 2 4 2 2 4" xfId="3405" xr:uid="{752DF439-FAD7-4590-B646-FEE5211D99B3}"/>
    <cellStyle name="Normal 5 2 4 2 2 4 2" xfId="5634" xr:uid="{6165F175-CA2F-4792-B704-8BC9C5B26337}"/>
    <cellStyle name="Normal 5 2 4 2 2 4 2 2" xfId="9852" xr:uid="{E886DE0E-ABBB-42E8-B7BE-C0F0A886A4AF}"/>
    <cellStyle name="Normal 5 2 4 2 2 4 3" xfId="7707" xr:uid="{D13B4C39-3CA1-4AE6-A560-3C43AB9A1C06}"/>
    <cellStyle name="Normal 5 2 4 2 2 5" xfId="3818" xr:uid="{81D2864C-B587-4DDF-BF47-117CF3A25A52}"/>
    <cellStyle name="Normal 5 2 4 2 2 5 2" xfId="6047" xr:uid="{6EF6E2D5-461F-44DF-B64F-78AA16599220}"/>
    <cellStyle name="Normal 5 2 4 2 2 5 2 2" xfId="10265" xr:uid="{636E4A91-179C-4F01-8552-F8E7BBA437C4}"/>
    <cellStyle name="Normal 5 2 4 2 2 5 3" xfId="8120" xr:uid="{A9609B84-D12E-4316-9B13-A19CF870FBE3}"/>
    <cellStyle name="Normal 5 2 4 2 2 6" xfId="4254" xr:uid="{FEB4AD4A-3696-43BA-9C48-10B8E5A05467}"/>
    <cellStyle name="Normal 5 2 4 2 2 6 2" xfId="8533" xr:uid="{778794EF-88AE-4DB6-B286-40E9719D5A31}"/>
    <cellStyle name="Normal 5 2 4 2 2 7" xfId="6468" xr:uid="{2CAF0BCB-C898-44EF-A139-BCA48B7682D0}"/>
    <cellStyle name="Normal 5 2 4 2 2 8" xfId="2164" xr:uid="{159E9D28-CB53-45B8-89A2-5322BC11D11A}"/>
    <cellStyle name="Normal 5 2 4 2 2 9" xfId="1334" xr:uid="{EFC60C6D-5C1E-45B0-8C17-9ECE4E10FD19}"/>
    <cellStyle name="Normal 5 2 4 2 3" xfId="915" xr:uid="{00000000-0005-0000-0000-000008030000}"/>
    <cellStyle name="Normal 5 2 4 2 3 2" xfId="4807" xr:uid="{2CC3C938-8378-485B-8B2F-A0CAB4868E24}"/>
    <cellStyle name="Normal 5 2 4 2 3 2 2" xfId="9025" xr:uid="{0B346B6D-85DF-4A08-9A74-77F994D547AA}"/>
    <cellStyle name="Normal 5 2 4 2 3 3" xfId="6880" xr:uid="{1582AE22-833C-4877-AC92-47DD330B52E8}"/>
    <cellStyle name="Normal 5 2 4 2 3 4" xfId="2578" xr:uid="{3738ED4A-69C0-4B8F-B2A8-89A82EC81FA4}"/>
    <cellStyle name="Normal 5 2 4 2 3 5" xfId="1749" xr:uid="{BD5C5C04-D788-4CF4-9451-C66A3FFFC114}"/>
    <cellStyle name="Normal 5 2 4 2 3 6" xfId="11115" xr:uid="{257939F7-1A8B-45B2-A920-94A974B6867A}"/>
    <cellStyle name="Normal 5 2 4 2 4" xfId="2991" xr:uid="{8A15DF78-E0B1-4F4D-8EDC-8E2909024C46}"/>
    <cellStyle name="Normal 5 2 4 2 4 2" xfId="5220" xr:uid="{3C2E988D-D657-4620-B791-79E8A5EE9E86}"/>
    <cellStyle name="Normal 5 2 4 2 4 2 2" xfId="9438" xr:uid="{B7C71AC5-ED08-4B0A-AA4F-2CB97BAC8439}"/>
    <cellStyle name="Normal 5 2 4 2 4 3" xfId="7293" xr:uid="{A167680A-6667-4F65-9804-5F0B0AD888F0}"/>
    <cellStyle name="Normal 5 2 4 2 5" xfId="3404" xr:uid="{7BA2FB00-3500-42BC-A663-65FACA598DB0}"/>
    <cellStyle name="Normal 5 2 4 2 5 2" xfId="5633" xr:uid="{5684C29E-4100-4AA3-AC31-8A1AF49342E5}"/>
    <cellStyle name="Normal 5 2 4 2 5 2 2" xfId="9851" xr:uid="{1EBF6A9C-E68C-485B-A1C8-E3CEB99EAE74}"/>
    <cellStyle name="Normal 5 2 4 2 5 3" xfId="7706" xr:uid="{53D5418D-F1B9-4D69-8673-EFB5EB6B7A7D}"/>
    <cellStyle name="Normal 5 2 4 2 6" xfId="3817" xr:uid="{A692E0E4-264A-4ACD-8E23-42E778818A3A}"/>
    <cellStyle name="Normal 5 2 4 2 6 2" xfId="6046" xr:uid="{FF2B6BEF-4127-43D6-BFDC-E3E672C3A97F}"/>
    <cellStyle name="Normal 5 2 4 2 6 2 2" xfId="10264" xr:uid="{E80DFA98-ED9F-4C94-8F48-B9C42ECB8A64}"/>
    <cellStyle name="Normal 5 2 4 2 6 3" xfId="8119" xr:uid="{6962DD3A-E85F-4634-9F95-9AF85897D5A7}"/>
    <cellStyle name="Normal 5 2 4 2 7" xfId="4253" xr:uid="{583A058A-D0D4-404F-A796-E4A0393E9636}"/>
    <cellStyle name="Normal 5 2 4 2 7 2" xfId="8532" xr:uid="{4A576B2F-7560-4849-B33D-9C3DA3EC4892}"/>
    <cellStyle name="Normal 5 2 4 2 8" xfId="6467" xr:uid="{2B68773B-C63E-43AE-9A27-8996065153E0}"/>
    <cellStyle name="Normal 5 2 4 2 9" xfId="2163" xr:uid="{B7DC53F0-CF16-49E3-AEF9-F035970FE3A2}"/>
    <cellStyle name="Normal 5 2 4 3" xfId="438" xr:uid="{00000000-0005-0000-0000-000009030000}"/>
    <cellStyle name="Normal 5 2 4 3 10" xfId="10701" xr:uid="{97DA3149-FBEC-4086-AE66-EEC9BB84E905}"/>
    <cellStyle name="Normal 5 2 4 3 2" xfId="917" xr:uid="{00000000-0005-0000-0000-00000A030000}"/>
    <cellStyle name="Normal 5 2 4 3 2 2" xfId="4809" xr:uid="{458063FA-5B2F-442C-B398-60BE9ACE1E21}"/>
    <cellStyle name="Normal 5 2 4 3 2 2 2" xfId="9027" xr:uid="{9DB513C4-E74D-498E-AB04-4F63842A32AD}"/>
    <cellStyle name="Normal 5 2 4 3 2 3" xfId="6882" xr:uid="{4A4DB228-677D-43F5-B092-D795547645A7}"/>
    <cellStyle name="Normal 5 2 4 3 2 4" xfId="2580" xr:uid="{C89A50EA-5326-49DB-87FB-9503135986DE}"/>
    <cellStyle name="Normal 5 2 4 3 2 5" xfId="1751" xr:uid="{B43D7662-A657-4FA4-B7D9-DBAB62953CDE}"/>
    <cellStyle name="Normal 5 2 4 3 2 6" xfId="11117" xr:uid="{4CECC8B9-BF03-42FC-B2E7-ABB818FE3828}"/>
    <cellStyle name="Normal 5 2 4 3 3" xfId="2993" xr:uid="{18B074BA-506C-4E10-900D-710C7500066C}"/>
    <cellStyle name="Normal 5 2 4 3 3 2" xfId="5222" xr:uid="{7830EE0F-27C8-4210-9B64-407E7ED4D79B}"/>
    <cellStyle name="Normal 5 2 4 3 3 2 2" xfId="9440" xr:uid="{DB2598B2-60CE-4065-ABCF-613880FD0B14}"/>
    <cellStyle name="Normal 5 2 4 3 3 3" xfId="7295" xr:uid="{2F76B381-914C-44EB-94B3-D9E22C4CE103}"/>
    <cellStyle name="Normal 5 2 4 3 4" xfId="3406" xr:uid="{A12A395A-B55C-450C-97DE-0C9E3EF72AE9}"/>
    <cellStyle name="Normal 5 2 4 3 4 2" xfId="5635" xr:uid="{73DA131C-A9F1-49A8-9A26-AB8027FDA957}"/>
    <cellStyle name="Normal 5 2 4 3 4 2 2" xfId="9853" xr:uid="{E117009B-8CEF-4D04-9D93-273A85E780BE}"/>
    <cellStyle name="Normal 5 2 4 3 4 3" xfId="7708" xr:uid="{A50C90FC-B0CB-42BC-8FE4-2C1D87F01BBA}"/>
    <cellStyle name="Normal 5 2 4 3 5" xfId="3819" xr:uid="{FD276EB4-D0E7-418B-95EE-979338A24489}"/>
    <cellStyle name="Normal 5 2 4 3 5 2" xfId="6048" xr:uid="{FFF01141-70E4-44D9-A753-157343CC1673}"/>
    <cellStyle name="Normal 5 2 4 3 5 2 2" xfId="10266" xr:uid="{B819B699-5F6F-4470-BD01-2A8ACB35879F}"/>
    <cellStyle name="Normal 5 2 4 3 5 3" xfId="8121" xr:uid="{0031B9C3-0C20-4623-BD0B-97E98C4B9B12}"/>
    <cellStyle name="Normal 5 2 4 3 6" xfId="4255" xr:uid="{94FBC379-3124-40DD-95C1-25BDDCE7D5C1}"/>
    <cellStyle name="Normal 5 2 4 3 6 2" xfId="8534" xr:uid="{54E0057C-200A-4576-9A25-52716ACE9518}"/>
    <cellStyle name="Normal 5 2 4 3 7" xfId="6469" xr:uid="{F03C6130-8F5B-452E-8234-78FCCFF714BA}"/>
    <cellStyle name="Normal 5 2 4 3 8" xfId="2165" xr:uid="{5EC7FDED-6A3D-4DF0-92BB-3DA2D392DEF4}"/>
    <cellStyle name="Normal 5 2 4 3 9" xfId="1335" xr:uid="{D83CB0E3-C2E7-41D7-9158-F70F58F23BA1}"/>
    <cellStyle name="Normal 5 2 4 4" xfId="914" xr:uid="{00000000-0005-0000-0000-00000B030000}"/>
    <cellStyle name="Normal 5 2 4 4 2" xfId="4806" xr:uid="{887E1387-DCD7-4659-A8A8-C4A53AF89313}"/>
    <cellStyle name="Normal 5 2 4 4 2 2" xfId="9024" xr:uid="{C4D18ACA-FB72-4424-8774-2F4A70D1DAA0}"/>
    <cellStyle name="Normal 5 2 4 4 3" xfId="6879" xr:uid="{AC192FA5-2C84-4B57-BFE2-411EB71CC438}"/>
    <cellStyle name="Normal 5 2 4 4 4" xfId="2577" xr:uid="{5C3B7A2A-5F24-4BAE-9221-6685AC80AC2C}"/>
    <cellStyle name="Normal 5 2 4 4 5" xfId="1748" xr:uid="{CE178E89-BEDF-497F-A38F-0D320D770B69}"/>
    <cellStyle name="Normal 5 2 4 4 6" xfId="11114" xr:uid="{7DEE91B9-5DD3-46D0-BADF-F948FF2432A5}"/>
    <cellStyle name="Normal 5 2 4 5" xfId="2990" xr:uid="{AE4B9C3C-F932-478F-8A28-8B78CCE8A159}"/>
    <cellStyle name="Normal 5 2 4 5 2" xfId="5219" xr:uid="{90B5FBC4-C180-4DDD-AD1C-16101E675A5F}"/>
    <cellStyle name="Normal 5 2 4 5 2 2" xfId="9437" xr:uid="{FD8F458C-35CC-46DB-95A2-C46CFE1B091B}"/>
    <cellStyle name="Normal 5 2 4 5 3" xfId="7292" xr:uid="{FC9CE442-28F3-4CC0-A6AE-86ECC08264D2}"/>
    <cellStyle name="Normal 5 2 4 6" xfId="3403" xr:uid="{04AD4122-EF25-4E0E-A5FF-8A9EC1A4ADCD}"/>
    <cellStyle name="Normal 5 2 4 6 2" xfId="5632" xr:uid="{4529B628-6762-4D16-8B90-84768EDA9437}"/>
    <cellStyle name="Normal 5 2 4 6 2 2" xfId="9850" xr:uid="{CEEBCB34-ADD9-41FB-AF67-54BED29BF161}"/>
    <cellStyle name="Normal 5 2 4 6 3" xfId="7705" xr:uid="{CAED1B98-9A17-4F96-BFC3-1C04D86C54DC}"/>
    <cellStyle name="Normal 5 2 4 7" xfId="3816" xr:uid="{99B3F9EA-6B96-46B3-BBB4-4AEEBE83B5C6}"/>
    <cellStyle name="Normal 5 2 4 7 2" xfId="6045" xr:uid="{C50AB7B7-79A2-4422-93F3-04AFB811D322}"/>
    <cellStyle name="Normal 5 2 4 7 2 2" xfId="10263" xr:uid="{BB0146E2-071C-4981-8390-C21184E1511B}"/>
    <cellStyle name="Normal 5 2 4 7 3" xfId="8118" xr:uid="{72B37FF1-0F39-4550-8513-2FF7AF2F46AE}"/>
    <cellStyle name="Normal 5 2 4 8" xfId="4252" xr:uid="{23F75EEC-CB83-466D-9FF6-60DD0B3F7164}"/>
    <cellStyle name="Normal 5 2 4 8 2" xfId="8531" xr:uid="{9ABCF281-A8A1-4482-BAC9-7873F8A8F263}"/>
    <cellStyle name="Normal 5 2 4 9" xfId="6466" xr:uid="{EFCD7C0D-C1D4-437C-BD36-F0848F0FF589}"/>
    <cellStyle name="Normal 5 2 5" xfId="439" xr:uid="{00000000-0005-0000-0000-00000C030000}"/>
    <cellStyle name="Normal 5 2 5 10" xfId="1336" xr:uid="{9085B51E-B3AE-4000-AC25-ED0DD3A2B5D4}"/>
    <cellStyle name="Normal 5 2 5 11" xfId="10702" xr:uid="{AEF962C3-6F6E-42F5-94A0-90B3EBEA61BE}"/>
    <cellStyle name="Normal 5 2 5 2" xfId="440" xr:uid="{00000000-0005-0000-0000-00000D030000}"/>
    <cellStyle name="Normal 5 2 5 2 10" xfId="10703" xr:uid="{161B5148-9476-4E0D-B16C-FEEF5F486030}"/>
    <cellStyle name="Normal 5 2 5 2 2" xfId="919" xr:uid="{00000000-0005-0000-0000-00000E030000}"/>
    <cellStyle name="Normal 5 2 5 2 2 2" xfId="4811" xr:uid="{B6084099-8899-4DE4-B1C0-16C1B785C704}"/>
    <cellStyle name="Normal 5 2 5 2 2 2 2" xfId="9029" xr:uid="{5AE7F08C-8613-4185-BE48-F88B0532666A}"/>
    <cellStyle name="Normal 5 2 5 2 2 3" xfId="6884" xr:uid="{EE76353B-8BA6-4E94-B379-CF09FF12DF53}"/>
    <cellStyle name="Normal 5 2 5 2 2 4" xfId="2582" xr:uid="{5B0FB721-0468-495E-87AC-6DA77EF8A039}"/>
    <cellStyle name="Normal 5 2 5 2 2 5" xfId="1753" xr:uid="{0D945192-7F35-40C2-9E6E-CA97C7503C59}"/>
    <cellStyle name="Normal 5 2 5 2 2 6" xfId="11119" xr:uid="{A92C95C5-A8CA-411D-8B6E-629F592B7129}"/>
    <cellStyle name="Normal 5 2 5 2 3" xfId="2995" xr:uid="{1D1F3A6C-CB64-4585-A09E-4B7E4E0178B2}"/>
    <cellStyle name="Normal 5 2 5 2 3 2" xfId="5224" xr:uid="{25DF4F4B-7165-423C-B124-94633E46D2B9}"/>
    <cellStyle name="Normal 5 2 5 2 3 2 2" xfId="9442" xr:uid="{17E3412E-5797-47A1-9E1F-F0CE00F876A1}"/>
    <cellStyle name="Normal 5 2 5 2 3 3" xfId="7297" xr:uid="{853872FA-290C-451B-8B79-B9DD807B8260}"/>
    <cellStyle name="Normal 5 2 5 2 4" xfId="3408" xr:uid="{2CE76306-09B5-40BC-BD56-650C4AA0A72B}"/>
    <cellStyle name="Normal 5 2 5 2 4 2" xfId="5637" xr:uid="{AB19F66E-8B88-4D89-A36E-4C866E0114D4}"/>
    <cellStyle name="Normal 5 2 5 2 4 2 2" xfId="9855" xr:uid="{92F3E36C-A764-48C0-9AAC-128549088CCC}"/>
    <cellStyle name="Normal 5 2 5 2 4 3" xfId="7710" xr:uid="{52C2B376-3604-427A-9921-16DC1C6CED30}"/>
    <cellStyle name="Normal 5 2 5 2 5" xfId="3821" xr:uid="{4D8453F5-C205-45B0-A692-FFFD1F512AB6}"/>
    <cellStyle name="Normal 5 2 5 2 5 2" xfId="6050" xr:uid="{8140819F-644C-49E2-918F-47DC58AD33F8}"/>
    <cellStyle name="Normal 5 2 5 2 5 2 2" xfId="10268" xr:uid="{6786DFB0-C7F1-41D3-9986-B8E1164A53CC}"/>
    <cellStyle name="Normal 5 2 5 2 5 3" xfId="8123" xr:uid="{7251D8CA-C81B-4582-BD80-50BFB1AAE31B}"/>
    <cellStyle name="Normal 5 2 5 2 6" xfId="4257" xr:uid="{7B3F86ED-18B0-4153-B3E8-1B03F4FF8A58}"/>
    <cellStyle name="Normal 5 2 5 2 6 2" xfId="8536" xr:uid="{72766CC9-5DBA-4EA3-8A90-9D0BAC53C2F6}"/>
    <cellStyle name="Normal 5 2 5 2 7" xfId="6471" xr:uid="{1A858EE5-0CAC-4801-8E1B-0F34CCBCD06A}"/>
    <cellStyle name="Normal 5 2 5 2 8" xfId="2167" xr:uid="{03071800-5814-4E95-8946-3FA8EB56C1E7}"/>
    <cellStyle name="Normal 5 2 5 2 9" xfId="1337" xr:uid="{A06BF675-8C53-4A18-AC85-866528F8D52A}"/>
    <cellStyle name="Normal 5 2 5 3" xfId="918" xr:uid="{00000000-0005-0000-0000-00000F030000}"/>
    <cellStyle name="Normal 5 2 5 3 2" xfId="4810" xr:uid="{62CF8456-45B0-4CC2-BA31-68074372BFA1}"/>
    <cellStyle name="Normal 5 2 5 3 2 2" xfId="9028" xr:uid="{FC8307BF-17C5-4835-AA13-DA9ED18A05B6}"/>
    <cellStyle name="Normal 5 2 5 3 3" xfId="6883" xr:uid="{15A19E32-32A8-4AFB-952E-D7ADE84C498A}"/>
    <cellStyle name="Normal 5 2 5 3 4" xfId="2581" xr:uid="{2AB15DF7-F814-4D3B-8E8D-64FD5130F5A0}"/>
    <cellStyle name="Normal 5 2 5 3 5" xfId="1752" xr:uid="{B5AA655A-B47D-4BC5-A9ED-91B52C880E43}"/>
    <cellStyle name="Normal 5 2 5 3 6" xfId="11118" xr:uid="{A21603FA-D096-47C7-AD63-42DBA16DC86D}"/>
    <cellStyle name="Normal 5 2 5 4" xfId="2994" xr:uid="{577A26DF-1696-4027-A16C-B76AE8BC3553}"/>
    <cellStyle name="Normal 5 2 5 4 2" xfId="5223" xr:uid="{A131BD56-EA0C-48AF-9F93-DD7B8A096998}"/>
    <cellStyle name="Normal 5 2 5 4 2 2" xfId="9441" xr:uid="{3E13542F-7E55-45B8-BFA9-CE0D0D16C85A}"/>
    <cellStyle name="Normal 5 2 5 4 3" xfId="7296" xr:uid="{693F6F43-10E4-45CA-8436-8638074244BE}"/>
    <cellStyle name="Normal 5 2 5 5" xfId="3407" xr:uid="{26EEB4A0-7D8E-464D-95E2-D7826F53C874}"/>
    <cellStyle name="Normal 5 2 5 5 2" xfId="5636" xr:uid="{EE3D03FF-5EA9-4E1F-914A-108CA4CABF91}"/>
    <cellStyle name="Normal 5 2 5 5 2 2" xfId="9854" xr:uid="{FE4B9FDC-CBE0-453B-B7A8-BF708F4B7CAA}"/>
    <cellStyle name="Normal 5 2 5 5 3" xfId="7709" xr:uid="{B4EF0226-F8F4-46C2-8FC7-7C9F4A89BAEE}"/>
    <cellStyle name="Normal 5 2 5 6" xfId="3820" xr:uid="{83FE4014-08B9-44FA-97DB-3D957CC0C585}"/>
    <cellStyle name="Normal 5 2 5 6 2" xfId="6049" xr:uid="{D81AFCF1-F9B7-4FAD-952B-5C02ED03E2D3}"/>
    <cellStyle name="Normal 5 2 5 6 2 2" xfId="10267" xr:uid="{DF933DFF-A027-4F00-B379-EBDA0A116ACC}"/>
    <cellStyle name="Normal 5 2 5 6 3" xfId="8122" xr:uid="{65F9BA4F-26F9-416A-85DD-DB45922709A9}"/>
    <cellStyle name="Normal 5 2 5 7" xfId="4256" xr:uid="{0C1B1D4F-87CC-4BDE-815D-F8709C3921CB}"/>
    <cellStyle name="Normal 5 2 5 7 2" xfId="8535" xr:uid="{A4FBE279-3D35-407D-9C24-FA66BDA7443B}"/>
    <cellStyle name="Normal 5 2 5 8" xfId="6470" xr:uid="{65EE938F-167D-482C-93E9-7CD878D6CA21}"/>
    <cellStyle name="Normal 5 2 5 9" xfId="2166" xr:uid="{A37FB7DF-F3CB-4661-92B0-9C3DB2210CDF}"/>
    <cellStyle name="Normal 5 2 6" xfId="441" xr:uid="{00000000-0005-0000-0000-000010030000}"/>
    <cellStyle name="Normal 5 2 6 10" xfId="10704" xr:uid="{FFD36A37-089C-45B5-831C-722188A36F29}"/>
    <cellStyle name="Normal 5 2 6 2" xfId="920" xr:uid="{00000000-0005-0000-0000-000011030000}"/>
    <cellStyle name="Normal 5 2 6 2 2" xfId="4812" xr:uid="{E0609EC4-E00E-4C3F-9277-6A7E05CE0572}"/>
    <cellStyle name="Normal 5 2 6 2 2 2" xfId="9030" xr:uid="{A7A25AF2-EECD-49BE-9B1E-53EDADE3FBF9}"/>
    <cellStyle name="Normal 5 2 6 2 3" xfId="6885" xr:uid="{D7996229-58E6-4DF5-883D-E311CA2627F7}"/>
    <cellStyle name="Normal 5 2 6 2 4" xfId="2583" xr:uid="{B4EC3349-1239-476D-9FB5-443D560B3379}"/>
    <cellStyle name="Normal 5 2 6 2 5" xfId="1754" xr:uid="{74D26668-267F-4AD5-812D-E74938EA9509}"/>
    <cellStyle name="Normal 5 2 6 2 6" xfId="11120" xr:uid="{CA3DEC13-B6D4-4E5A-A4D1-04ACE30C3966}"/>
    <cellStyle name="Normal 5 2 6 3" xfId="2996" xr:uid="{E80E6553-3B71-49B5-BEEE-512A4E7C79F5}"/>
    <cellStyle name="Normal 5 2 6 3 2" xfId="5225" xr:uid="{D5384380-5141-4512-9AD9-9AFF7466B145}"/>
    <cellStyle name="Normal 5 2 6 3 2 2" xfId="9443" xr:uid="{C55EA1A9-7B26-4E58-AAE3-39CCDF77E117}"/>
    <cellStyle name="Normal 5 2 6 3 3" xfId="7298" xr:uid="{A2FB3C4A-D3F8-46EE-9414-94F56B9EA7A9}"/>
    <cellStyle name="Normal 5 2 6 4" xfId="3409" xr:uid="{ED0693B0-6FDE-4C11-9C01-F71A32BAD369}"/>
    <cellStyle name="Normal 5 2 6 4 2" xfId="5638" xr:uid="{70F1D4EA-71E7-4AA9-A868-CAA384EBD855}"/>
    <cellStyle name="Normal 5 2 6 4 2 2" xfId="9856" xr:uid="{7BCE6916-03D6-4A18-B627-E4A6D83E407F}"/>
    <cellStyle name="Normal 5 2 6 4 3" xfId="7711" xr:uid="{448A98E6-EC9C-44DA-B23D-E4C5DFDEB219}"/>
    <cellStyle name="Normal 5 2 6 5" xfId="3822" xr:uid="{0EA7A68B-72C0-433B-89F9-2CCC7E43EB8B}"/>
    <cellStyle name="Normal 5 2 6 5 2" xfId="6051" xr:uid="{2F6AB5A2-CABD-4DC4-AA07-79B64E21086A}"/>
    <cellStyle name="Normal 5 2 6 5 2 2" xfId="10269" xr:uid="{B5B3C949-6C3E-491F-B2B6-D77F887BF1DC}"/>
    <cellStyle name="Normal 5 2 6 5 3" xfId="8124" xr:uid="{8B239BED-B7CA-4B08-AC38-B1AF158F6502}"/>
    <cellStyle name="Normal 5 2 6 6" xfId="4258" xr:uid="{0D6DD59E-232D-4FF9-B434-650B309B1CC2}"/>
    <cellStyle name="Normal 5 2 6 6 2" xfId="8537" xr:uid="{916B0C48-D85A-48BB-95FF-166B99B657D2}"/>
    <cellStyle name="Normal 5 2 6 7" xfId="6472" xr:uid="{12B9FD18-6C81-4D9C-BF3A-1565D0AE93DD}"/>
    <cellStyle name="Normal 5 2 6 8" xfId="2168" xr:uid="{84F64368-353E-45F2-9372-81D038C551CD}"/>
    <cellStyle name="Normal 5 2 6 9" xfId="1338" xr:uid="{2D127EBA-2DBD-41D2-A092-1C9834B38125}"/>
    <cellStyle name="Normal 5 2 7" xfId="889" xr:uid="{00000000-0005-0000-0000-000012030000}"/>
    <cellStyle name="Normal 5 2 7 2" xfId="4781" xr:uid="{1D1F469C-B0EE-4F36-93D8-0DE8A843B184}"/>
    <cellStyle name="Normal 5 2 7 2 2" xfId="8999" xr:uid="{D2FFA872-820C-470E-A94A-74CD75AB492C}"/>
    <cellStyle name="Normal 5 2 7 3" xfId="6854" xr:uid="{945C97F3-7401-485E-AE29-9AA543398FA5}"/>
    <cellStyle name="Normal 5 2 7 4" xfId="2552" xr:uid="{FEF87476-1027-4EA1-A5AA-D01CC5B8B52E}"/>
    <cellStyle name="Normal 5 2 7 5" xfId="1723" xr:uid="{189319AA-60E8-41BB-B285-99762FFB10E7}"/>
    <cellStyle name="Normal 5 2 7 6" xfId="11089" xr:uid="{ED0E8EB8-0094-4C6C-A56D-3B579D009005}"/>
    <cellStyle name="Normal 5 2 8" xfId="2965" xr:uid="{6CF1A947-D323-4D9E-8E4D-F8418D8BD393}"/>
    <cellStyle name="Normal 5 2 8 2" xfId="5194" xr:uid="{4226C2B1-3074-4273-ACCF-7B25A2E84FAF}"/>
    <cellStyle name="Normal 5 2 8 2 2" xfId="9412" xr:uid="{1B3B31C8-BFCE-412B-8C4A-758E1E9BB6CD}"/>
    <cellStyle name="Normal 5 2 8 3" xfId="7267" xr:uid="{A373F90F-59BF-46B2-A962-9FA524CE45C0}"/>
    <cellStyle name="Normal 5 2 9" xfId="3378" xr:uid="{CA3767E1-4935-40B5-A1F8-5E43136CE9DE}"/>
    <cellStyle name="Normal 5 2 9 2" xfId="5607" xr:uid="{F07151BA-DB76-4149-961A-363E349B8F9C}"/>
    <cellStyle name="Normal 5 2 9 2 2" xfId="9825" xr:uid="{0B83642D-65AF-4544-8ADD-1C55FA2FA9B0}"/>
    <cellStyle name="Normal 5 2 9 3" xfId="7680" xr:uid="{782A5CCD-6C0A-44E8-8852-19B40EBFED60}"/>
    <cellStyle name="Normal 5 3" xfId="442" xr:uid="{00000000-0005-0000-0000-000013030000}"/>
    <cellStyle name="Normal 5 3 10" xfId="3823" xr:uid="{EAE88109-73AE-4072-B272-B42B831487C7}"/>
    <cellStyle name="Normal 5 3 10 2" xfId="6052" xr:uid="{EEB78082-1C02-40D6-862B-0B37BDE81C40}"/>
    <cellStyle name="Normal 5 3 10 2 2" xfId="10270" xr:uid="{3B98865D-794C-447E-9536-A98DFB0AA00D}"/>
    <cellStyle name="Normal 5 3 10 3" xfId="8125" xr:uid="{D360922B-1263-4B0E-939C-1CA1B554A9BE}"/>
    <cellStyle name="Normal 5 3 11" xfId="4259" xr:uid="{4B66F26C-A346-424C-85CC-93E5F2A2D932}"/>
    <cellStyle name="Normal 5 3 11 2" xfId="8538" xr:uid="{AB48FC8E-1607-48F7-B064-BFA7120DE2D9}"/>
    <cellStyle name="Normal 5 3 12" xfId="6473" xr:uid="{A4F7FD19-38D1-474B-AC5B-2F7196DF708F}"/>
    <cellStyle name="Normal 5 3 13" xfId="2169" xr:uid="{40247EB1-A309-4BEF-B98D-314C161E1C4D}"/>
    <cellStyle name="Normal 5 3 14" xfId="1339" xr:uid="{495B7023-0E06-40B8-9E69-E86E941F1A0D}"/>
    <cellStyle name="Normal 5 3 15" xfId="10705" xr:uid="{BE611D8C-6F65-460C-8E8E-177DE9542818}"/>
    <cellStyle name="Normal 5 3 2" xfId="443" xr:uid="{00000000-0005-0000-0000-000014030000}"/>
    <cellStyle name="Normal 5 3 2 2" xfId="922" xr:uid="{00000000-0005-0000-0000-000015030000}"/>
    <cellStyle name="Normal 5 3 3" xfId="444" xr:uid="{00000000-0005-0000-0000-000016030000}"/>
    <cellStyle name="Normal 5 3 3 10" xfId="6474" xr:uid="{CC4EE4B2-159B-429D-B468-6FF0A30E3F7C}"/>
    <cellStyle name="Normal 5 3 3 11" xfId="2170" xr:uid="{548A4C2A-56C6-491F-B1BC-CD74C6D36256}"/>
    <cellStyle name="Normal 5 3 3 12" xfId="1340" xr:uid="{B3DF6AF2-D5B2-4399-882A-0759610FA0B2}"/>
    <cellStyle name="Normal 5 3 3 13" xfId="10706" xr:uid="{2E4D317E-5DEC-4455-9052-03799594B761}"/>
    <cellStyle name="Normal 5 3 3 2" xfId="445" xr:uid="{00000000-0005-0000-0000-000017030000}"/>
    <cellStyle name="Normal 5 3 3 2 10" xfId="2171" xr:uid="{74AA726A-E2C4-4F88-A06F-1CF1F342267D}"/>
    <cellStyle name="Normal 5 3 3 2 11" xfId="1341" xr:uid="{9EE27A0F-8017-4183-952C-EA9BD7C20314}"/>
    <cellStyle name="Normal 5 3 3 2 12" xfId="10707" xr:uid="{1AA5DC69-91C2-4988-A3AC-72C846CE03BE}"/>
    <cellStyle name="Normal 5 3 3 2 2" xfId="446" xr:uid="{00000000-0005-0000-0000-000018030000}"/>
    <cellStyle name="Normal 5 3 3 2 2 10" xfId="1342" xr:uid="{666E9BA0-2872-47D2-9625-E6B34818729D}"/>
    <cellStyle name="Normal 5 3 3 2 2 11" xfId="10708" xr:uid="{BE06F654-D297-4BEE-82A7-1A138FFF3CD0}"/>
    <cellStyle name="Normal 5 3 3 2 2 2" xfId="447" xr:uid="{00000000-0005-0000-0000-000019030000}"/>
    <cellStyle name="Normal 5 3 3 2 2 2 10" xfId="10709" xr:uid="{BFBF6AA8-7600-491A-90C4-32C559EE8C9E}"/>
    <cellStyle name="Normal 5 3 3 2 2 2 2" xfId="926" xr:uid="{00000000-0005-0000-0000-00001A030000}"/>
    <cellStyle name="Normal 5 3 3 2 2 2 2 2" xfId="4817" xr:uid="{521A8C35-30FD-4955-B43E-7946759B41C8}"/>
    <cellStyle name="Normal 5 3 3 2 2 2 2 2 2" xfId="9035" xr:uid="{5592FA35-7A18-4776-8BEE-673986A3FDDD}"/>
    <cellStyle name="Normal 5 3 3 2 2 2 2 3" xfId="6890" xr:uid="{9D78C7D0-9352-49C8-8161-D7B7F38A90E2}"/>
    <cellStyle name="Normal 5 3 3 2 2 2 2 4" xfId="2588" xr:uid="{48CDC012-9CD8-4C2F-BFEC-BBFAE03B367C}"/>
    <cellStyle name="Normal 5 3 3 2 2 2 2 5" xfId="1759" xr:uid="{16F4204C-72FE-467B-8938-2E6443FF9D91}"/>
    <cellStyle name="Normal 5 3 3 2 2 2 2 6" xfId="11125" xr:uid="{ED8445E1-C9A5-435F-B2BF-5BFF272F4EFE}"/>
    <cellStyle name="Normal 5 3 3 2 2 2 3" xfId="3001" xr:uid="{2BB204EE-1932-4A8F-AA53-067285C0960A}"/>
    <cellStyle name="Normal 5 3 3 2 2 2 3 2" xfId="5230" xr:uid="{26395F05-36B2-4915-9910-B9900580D696}"/>
    <cellStyle name="Normal 5 3 3 2 2 2 3 2 2" xfId="9448" xr:uid="{0184F29E-BD05-4A95-BF53-6D4696E71D80}"/>
    <cellStyle name="Normal 5 3 3 2 2 2 3 3" xfId="7303" xr:uid="{26F26BAA-59C2-457A-A169-40759DFCA41A}"/>
    <cellStyle name="Normal 5 3 3 2 2 2 4" xfId="3414" xr:uid="{6CD21038-7241-46EE-8F4D-8B23119F4C38}"/>
    <cellStyle name="Normal 5 3 3 2 2 2 4 2" xfId="5643" xr:uid="{BFF8C21B-D5B6-4F1A-A032-0D384A4D9572}"/>
    <cellStyle name="Normal 5 3 3 2 2 2 4 2 2" xfId="9861" xr:uid="{04BBDD39-0F54-4668-9842-585929424515}"/>
    <cellStyle name="Normal 5 3 3 2 2 2 4 3" xfId="7716" xr:uid="{F029ED1F-C4A1-428D-9D69-0122C27BF7DD}"/>
    <cellStyle name="Normal 5 3 3 2 2 2 5" xfId="3827" xr:uid="{28726854-8526-44CD-A139-C725D3784B8C}"/>
    <cellStyle name="Normal 5 3 3 2 2 2 5 2" xfId="6056" xr:uid="{7FD8EF0D-4A64-4840-BC8C-52EB09B853B7}"/>
    <cellStyle name="Normal 5 3 3 2 2 2 5 2 2" xfId="10274" xr:uid="{11D4669B-F932-4F5F-95C5-8F5BB39A2D58}"/>
    <cellStyle name="Normal 5 3 3 2 2 2 5 3" xfId="8129" xr:uid="{2DEEB0C3-FA0A-41AE-B6A1-01F28C98A7F5}"/>
    <cellStyle name="Normal 5 3 3 2 2 2 6" xfId="4263" xr:uid="{DE44EFB9-347D-43B0-8C99-FC38DDCB9EAE}"/>
    <cellStyle name="Normal 5 3 3 2 2 2 6 2" xfId="8542" xr:uid="{F153E2E2-FB3E-44A5-84AE-2E6637B11B03}"/>
    <cellStyle name="Normal 5 3 3 2 2 2 7" xfId="6477" xr:uid="{F0FCAF22-218D-43C6-A1C1-CD8587A7939D}"/>
    <cellStyle name="Normal 5 3 3 2 2 2 8" xfId="2173" xr:uid="{18F1A725-84CF-4B66-ADD3-CFA39CF87D7D}"/>
    <cellStyle name="Normal 5 3 3 2 2 2 9" xfId="1343" xr:uid="{372BE6AF-F131-4289-B2D9-605D669DF723}"/>
    <cellStyle name="Normal 5 3 3 2 2 3" xfId="925" xr:uid="{00000000-0005-0000-0000-00001B030000}"/>
    <cellStyle name="Normal 5 3 3 2 2 3 2" xfId="4816" xr:uid="{2DC32440-CB98-4500-B4FA-8FB2F151B4C4}"/>
    <cellStyle name="Normal 5 3 3 2 2 3 2 2" xfId="9034" xr:uid="{E4816E40-C76A-41B1-8723-325A9ACE4218}"/>
    <cellStyle name="Normal 5 3 3 2 2 3 3" xfId="6889" xr:uid="{78A6F6E0-B335-496D-A225-6F4763B786A9}"/>
    <cellStyle name="Normal 5 3 3 2 2 3 4" xfId="2587" xr:uid="{1957CEC8-C22B-43C0-A53F-C9944B50D9B9}"/>
    <cellStyle name="Normal 5 3 3 2 2 3 5" xfId="1758" xr:uid="{DF997EFD-0DD3-4D1B-AAB7-0D1B7229B3AD}"/>
    <cellStyle name="Normal 5 3 3 2 2 3 6" xfId="11124" xr:uid="{9D38598B-6B52-4F91-9195-EBEE2DBB5F72}"/>
    <cellStyle name="Normal 5 3 3 2 2 4" xfId="3000" xr:uid="{28D67B66-BE8B-4E95-9B4A-C0057D14E77E}"/>
    <cellStyle name="Normal 5 3 3 2 2 4 2" xfId="5229" xr:uid="{3D5FAE9B-5B5F-4591-9619-697B3487EC1F}"/>
    <cellStyle name="Normal 5 3 3 2 2 4 2 2" xfId="9447" xr:uid="{85BC44B1-3C37-41AF-8955-9FD310346B00}"/>
    <cellStyle name="Normal 5 3 3 2 2 4 3" xfId="7302" xr:uid="{3014F1F5-F32D-40F4-9424-B6407CD4EB1B}"/>
    <cellStyle name="Normal 5 3 3 2 2 5" xfId="3413" xr:uid="{588E7451-4887-494F-8509-6D61065D8BE1}"/>
    <cellStyle name="Normal 5 3 3 2 2 5 2" xfId="5642" xr:uid="{5C7D017B-CBE4-4687-9878-14DE4E3F7363}"/>
    <cellStyle name="Normal 5 3 3 2 2 5 2 2" xfId="9860" xr:uid="{581602BF-9400-469F-A854-754BFEC28E21}"/>
    <cellStyle name="Normal 5 3 3 2 2 5 3" xfId="7715" xr:uid="{DE8ED2E3-A7BE-4745-93FE-84D81D182D68}"/>
    <cellStyle name="Normal 5 3 3 2 2 6" xfId="3826" xr:uid="{CB73903B-061A-41E4-B723-C3649C5DD8BC}"/>
    <cellStyle name="Normal 5 3 3 2 2 6 2" xfId="6055" xr:uid="{36314232-3B41-4F56-9170-DEF7ED04AD40}"/>
    <cellStyle name="Normal 5 3 3 2 2 6 2 2" xfId="10273" xr:uid="{A1F18287-5A8D-4C5A-8199-A76329C11024}"/>
    <cellStyle name="Normal 5 3 3 2 2 6 3" xfId="8128" xr:uid="{A6FF526D-6894-4FDB-B2B4-BB532D558BB6}"/>
    <cellStyle name="Normal 5 3 3 2 2 7" xfId="4262" xr:uid="{F945823C-80EA-4CCC-A3E7-86579F84BFDF}"/>
    <cellStyle name="Normal 5 3 3 2 2 7 2" xfId="8541" xr:uid="{09B6E424-41CB-4AB1-81B0-2EE9A9EE4E1A}"/>
    <cellStyle name="Normal 5 3 3 2 2 8" xfId="6476" xr:uid="{6558F04B-9E59-48AB-A28F-A784864B7826}"/>
    <cellStyle name="Normal 5 3 3 2 2 9" xfId="2172" xr:uid="{B73CF5FE-8CA5-4625-AB42-A87ACD38AEA0}"/>
    <cellStyle name="Normal 5 3 3 2 3" xfId="448" xr:uid="{00000000-0005-0000-0000-00001C030000}"/>
    <cellStyle name="Normal 5 3 3 2 3 10" xfId="10710" xr:uid="{5B1290F9-AEA3-4956-ACA5-7F527325005C}"/>
    <cellStyle name="Normal 5 3 3 2 3 2" xfId="927" xr:uid="{00000000-0005-0000-0000-00001D030000}"/>
    <cellStyle name="Normal 5 3 3 2 3 2 2" xfId="4818" xr:uid="{EA5022DD-4B23-4F7D-8A0F-54956BB3584E}"/>
    <cellStyle name="Normal 5 3 3 2 3 2 2 2" xfId="9036" xr:uid="{92B22714-67C3-4897-96EA-275690C13F9A}"/>
    <cellStyle name="Normal 5 3 3 2 3 2 3" xfId="6891" xr:uid="{00EFD758-0BDD-42F9-B384-382E6D46DE86}"/>
    <cellStyle name="Normal 5 3 3 2 3 2 4" xfId="2589" xr:uid="{D16DA271-4239-4CC5-A4A9-B2D33ED8DA23}"/>
    <cellStyle name="Normal 5 3 3 2 3 2 5" xfId="1760" xr:uid="{E55BAA4F-EC39-40C6-83AC-07A5C6A8EB21}"/>
    <cellStyle name="Normal 5 3 3 2 3 2 6" xfId="11126" xr:uid="{F118896E-CB86-4411-ACE1-85C61E91BD07}"/>
    <cellStyle name="Normal 5 3 3 2 3 3" xfId="3002" xr:uid="{6D828D29-9EC5-4E2D-B1BD-CECADA742B05}"/>
    <cellStyle name="Normal 5 3 3 2 3 3 2" xfId="5231" xr:uid="{CD880898-43E9-4CA9-B236-185F78A33A63}"/>
    <cellStyle name="Normal 5 3 3 2 3 3 2 2" xfId="9449" xr:uid="{049C7553-9C0C-4A3C-A4D0-6988F9B88643}"/>
    <cellStyle name="Normal 5 3 3 2 3 3 3" xfId="7304" xr:uid="{2AB0FD3C-748D-470C-B923-6021D5743E99}"/>
    <cellStyle name="Normal 5 3 3 2 3 4" xfId="3415" xr:uid="{56275D24-226E-4331-A396-E2DBE511FE3D}"/>
    <cellStyle name="Normal 5 3 3 2 3 4 2" xfId="5644" xr:uid="{E7F2C3BC-0B22-423F-9A34-AB555BF5DD6A}"/>
    <cellStyle name="Normal 5 3 3 2 3 4 2 2" xfId="9862" xr:uid="{AC4873AC-22B9-4433-90A6-AD5E991B7427}"/>
    <cellStyle name="Normal 5 3 3 2 3 4 3" xfId="7717" xr:uid="{2FA8F204-9D3A-4C8D-A387-0CE26CBEEEB9}"/>
    <cellStyle name="Normal 5 3 3 2 3 5" xfId="3828" xr:uid="{FCA5B3C4-B99E-4514-B8E8-C98F1C4E2BF9}"/>
    <cellStyle name="Normal 5 3 3 2 3 5 2" xfId="6057" xr:uid="{C00DA44C-6F1B-4FBB-9AD1-4D203889CACE}"/>
    <cellStyle name="Normal 5 3 3 2 3 5 2 2" xfId="10275" xr:uid="{7C905863-AD08-4B2F-B19C-44427F783B33}"/>
    <cellStyle name="Normal 5 3 3 2 3 5 3" xfId="8130" xr:uid="{86C4FCCE-A61A-453A-AF24-51506311F5D5}"/>
    <cellStyle name="Normal 5 3 3 2 3 6" xfId="4264" xr:uid="{D8E3BBCE-9ABD-4F1E-B889-291ED8B6DE50}"/>
    <cellStyle name="Normal 5 3 3 2 3 6 2" xfId="8543" xr:uid="{616F7010-1FE1-4C16-8825-E3265164977D}"/>
    <cellStyle name="Normal 5 3 3 2 3 7" xfId="6478" xr:uid="{4C10FF84-B8BE-45C9-8746-F899E1A8C926}"/>
    <cellStyle name="Normal 5 3 3 2 3 8" xfId="2174" xr:uid="{F8F7DF11-208F-4804-9CC3-4D902AA601DD}"/>
    <cellStyle name="Normal 5 3 3 2 3 9" xfId="1344" xr:uid="{CC4AA533-878F-422A-84A8-ECDA7A1EBAFB}"/>
    <cellStyle name="Normal 5 3 3 2 4" xfId="924" xr:uid="{00000000-0005-0000-0000-00001E030000}"/>
    <cellStyle name="Normal 5 3 3 2 4 2" xfId="4815" xr:uid="{58DC683E-7774-4600-AF04-4ADEA098EF68}"/>
    <cellStyle name="Normal 5 3 3 2 4 2 2" xfId="9033" xr:uid="{81675D4B-35FF-4913-BB75-266525725E0B}"/>
    <cellStyle name="Normal 5 3 3 2 4 3" xfId="6888" xr:uid="{F389E111-84AB-447D-9DDF-321754E0C24A}"/>
    <cellStyle name="Normal 5 3 3 2 4 4" xfId="2586" xr:uid="{0AA31103-D908-4021-9D93-D0D98629403D}"/>
    <cellStyle name="Normal 5 3 3 2 4 5" xfId="1757" xr:uid="{19DF5D6B-DA7B-4652-A48F-B65743C106E8}"/>
    <cellStyle name="Normal 5 3 3 2 4 6" xfId="11123" xr:uid="{C8240D98-63DB-43CA-8969-3597BFEF651D}"/>
    <cellStyle name="Normal 5 3 3 2 5" xfId="2999" xr:uid="{A6361344-06AE-4BCF-9016-CB98C6167A9B}"/>
    <cellStyle name="Normal 5 3 3 2 5 2" xfId="5228" xr:uid="{53CECF20-E34E-4C11-A4B6-F0EC70E103F1}"/>
    <cellStyle name="Normal 5 3 3 2 5 2 2" xfId="9446" xr:uid="{E0632223-22C5-4F23-BA85-88290FA8BB7F}"/>
    <cellStyle name="Normal 5 3 3 2 5 3" xfId="7301" xr:uid="{BE1B0DE7-2453-4612-AFAA-23247BB06736}"/>
    <cellStyle name="Normal 5 3 3 2 6" xfId="3412" xr:uid="{B9FC957E-F8F1-47A9-8F78-60992F0CD49D}"/>
    <cellStyle name="Normal 5 3 3 2 6 2" xfId="5641" xr:uid="{7E7EAEA1-3CCD-439E-A521-17D99D16BBC9}"/>
    <cellStyle name="Normal 5 3 3 2 6 2 2" xfId="9859" xr:uid="{85D39F55-DD63-4BB0-BD56-B72E7F5D3A8E}"/>
    <cellStyle name="Normal 5 3 3 2 6 3" xfId="7714" xr:uid="{B33CD73A-8E2D-4FBE-9F02-FACA2FF7F2D9}"/>
    <cellStyle name="Normal 5 3 3 2 7" xfId="3825" xr:uid="{81EE1F4F-5F49-4809-BBB9-031C944C3435}"/>
    <cellStyle name="Normal 5 3 3 2 7 2" xfId="6054" xr:uid="{E63D3D7C-C5AC-4075-98D8-B6E2FCFF7692}"/>
    <cellStyle name="Normal 5 3 3 2 7 2 2" xfId="10272" xr:uid="{91C68242-EA06-4D0D-848F-21DD1C6BF8B7}"/>
    <cellStyle name="Normal 5 3 3 2 7 3" xfId="8127" xr:uid="{D4C938C0-D9AF-4AA5-999D-C1C6738AEE07}"/>
    <cellStyle name="Normal 5 3 3 2 8" xfId="4261" xr:uid="{8A3BB1AC-9246-4255-AC79-569E28330713}"/>
    <cellStyle name="Normal 5 3 3 2 8 2" xfId="8540" xr:uid="{CD730513-BDE4-4CED-821B-A2345D6B5CB3}"/>
    <cellStyle name="Normal 5 3 3 2 9" xfId="6475" xr:uid="{DBCE3AD7-2FF9-4385-8CE7-5716A9892CE2}"/>
    <cellStyle name="Normal 5 3 3 3" xfId="449" xr:uid="{00000000-0005-0000-0000-00001F030000}"/>
    <cellStyle name="Normal 5 3 3 3 10" xfId="1345" xr:uid="{C63FBD33-CBC4-49E2-AD7F-EE1DA749C558}"/>
    <cellStyle name="Normal 5 3 3 3 11" xfId="10711" xr:uid="{29B1F8E9-5490-4DD3-B884-F012D5B0BA06}"/>
    <cellStyle name="Normal 5 3 3 3 2" xfId="450" xr:uid="{00000000-0005-0000-0000-000020030000}"/>
    <cellStyle name="Normal 5 3 3 3 2 10" xfId="10712" xr:uid="{01D51B44-E30E-47CF-83BC-7702E215525E}"/>
    <cellStyle name="Normal 5 3 3 3 2 2" xfId="929" xr:uid="{00000000-0005-0000-0000-000021030000}"/>
    <cellStyle name="Normal 5 3 3 3 2 2 2" xfId="4820" xr:uid="{7F93E967-A9BB-4140-BE80-89B1D6CC2896}"/>
    <cellStyle name="Normal 5 3 3 3 2 2 2 2" xfId="9038" xr:uid="{0F71FD6D-5D2A-42E6-8761-2A92247D511E}"/>
    <cellStyle name="Normal 5 3 3 3 2 2 3" xfId="6893" xr:uid="{BC4CCE50-D5F7-4D15-8C8A-D607E0C4DF86}"/>
    <cellStyle name="Normal 5 3 3 3 2 2 4" xfId="2591" xr:uid="{A285A217-ECC7-4B39-AD81-9ABDD4596355}"/>
    <cellStyle name="Normal 5 3 3 3 2 2 5" xfId="1762" xr:uid="{3B38DE3F-0FFF-4BE4-B9A8-DF61C50C378F}"/>
    <cellStyle name="Normal 5 3 3 3 2 2 6" xfId="11128" xr:uid="{1D6489A1-8CDE-4A1D-8373-C6534C3F7909}"/>
    <cellStyle name="Normal 5 3 3 3 2 3" xfId="3004" xr:uid="{CA3AF470-2E4B-408B-B5AB-B1D844B7766C}"/>
    <cellStyle name="Normal 5 3 3 3 2 3 2" xfId="5233" xr:uid="{487126DD-CFEB-4660-91A1-13E3F777D277}"/>
    <cellStyle name="Normal 5 3 3 3 2 3 2 2" xfId="9451" xr:uid="{D68DA2A2-8452-4728-9F11-51F56DA10E0F}"/>
    <cellStyle name="Normal 5 3 3 3 2 3 3" xfId="7306" xr:uid="{3CE45A35-3D12-4C36-BF14-3B20E13998E8}"/>
    <cellStyle name="Normal 5 3 3 3 2 4" xfId="3417" xr:uid="{6DD6D4E8-EE20-4DB9-AA1D-13AF3A53C5F1}"/>
    <cellStyle name="Normal 5 3 3 3 2 4 2" xfId="5646" xr:uid="{390C777F-7E09-42F9-BAC4-007DA8AB8691}"/>
    <cellStyle name="Normal 5 3 3 3 2 4 2 2" xfId="9864" xr:uid="{D5CE43AA-B38F-4A49-B8B6-89FCC804D6E2}"/>
    <cellStyle name="Normal 5 3 3 3 2 4 3" xfId="7719" xr:uid="{543EC5B8-5AAA-4757-A2DF-0E436CF76A2D}"/>
    <cellStyle name="Normal 5 3 3 3 2 5" xfId="3830" xr:uid="{EFA7BA73-2A8C-4F82-8D69-062122652B43}"/>
    <cellStyle name="Normal 5 3 3 3 2 5 2" xfId="6059" xr:uid="{2373E6C0-1863-4634-AC59-DC16DBF5C6A7}"/>
    <cellStyle name="Normal 5 3 3 3 2 5 2 2" xfId="10277" xr:uid="{04AD6773-B9CA-4E73-8E05-07A1A167B059}"/>
    <cellStyle name="Normal 5 3 3 3 2 5 3" xfId="8132" xr:uid="{FD1D0F78-73DB-4344-876E-313B73BDBEBE}"/>
    <cellStyle name="Normal 5 3 3 3 2 6" xfId="4266" xr:uid="{B48F4C36-B11A-4B47-9680-E8652E448609}"/>
    <cellStyle name="Normal 5 3 3 3 2 6 2" xfId="8545" xr:uid="{49F51404-A442-4913-8C64-3DA5D74F3F4A}"/>
    <cellStyle name="Normal 5 3 3 3 2 7" xfId="6480" xr:uid="{CEDE6385-2F47-4A13-B88A-1E4C2FCB61FB}"/>
    <cellStyle name="Normal 5 3 3 3 2 8" xfId="2176" xr:uid="{66DCCCDF-DB75-4407-BE07-E52D2B6B43EB}"/>
    <cellStyle name="Normal 5 3 3 3 2 9" xfId="1346" xr:uid="{995FC167-7439-4E81-8598-2DE1694A53DB}"/>
    <cellStyle name="Normal 5 3 3 3 3" xfId="928" xr:uid="{00000000-0005-0000-0000-000022030000}"/>
    <cellStyle name="Normal 5 3 3 3 3 2" xfId="4819" xr:uid="{3E105E3D-9389-4818-B3B0-B9549E3BA927}"/>
    <cellStyle name="Normal 5 3 3 3 3 2 2" xfId="9037" xr:uid="{1E4CE1B7-C620-4B6B-A04E-F3D2D8D2ADB6}"/>
    <cellStyle name="Normal 5 3 3 3 3 3" xfId="6892" xr:uid="{54E5F3A8-1475-4DD0-ADCA-9F8A0A067372}"/>
    <cellStyle name="Normal 5 3 3 3 3 4" xfId="2590" xr:uid="{C6E9331E-8186-4D94-8DAA-53C681E3F1C7}"/>
    <cellStyle name="Normal 5 3 3 3 3 5" xfId="1761" xr:uid="{9D022FAD-A409-4842-AD23-0E78EB8079CC}"/>
    <cellStyle name="Normal 5 3 3 3 3 6" xfId="11127" xr:uid="{AB9ABD20-3D19-4618-A9E3-033A44966B25}"/>
    <cellStyle name="Normal 5 3 3 3 4" xfId="3003" xr:uid="{56EA9AFB-DCB6-4A6E-A218-3FE533093A04}"/>
    <cellStyle name="Normal 5 3 3 3 4 2" xfId="5232" xr:uid="{8E7C2122-EFC2-4945-A9DC-9889B7AFBE86}"/>
    <cellStyle name="Normal 5 3 3 3 4 2 2" xfId="9450" xr:uid="{74D0ABEC-BC96-4035-BA4B-D3EA56E37B1E}"/>
    <cellStyle name="Normal 5 3 3 3 4 3" xfId="7305" xr:uid="{715309E3-5D4E-4C4F-B801-8E1B60DD4885}"/>
    <cellStyle name="Normal 5 3 3 3 5" xfId="3416" xr:uid="{048A2018-B49E-419E-A832-A0010EADC11A}"/>
    <cellStyle name="Normal 5 3 3 3 5 2" xfId="5645" xr:uid="{92135475-A252-4CCA-AC74-F19DBF4DEC7F}"/>
    <cellStyle name="Normal 5 3 3 3 5 2 2" xfId="9863" xr:uid="{658CC4EE-F17A-4839-A193-C728B784039B}"/>
    <cellStyle name="Normal 5 3 3 3 5 3" xfId="7718" xr:uid="{0865A3E2-0D6F-440C-BDC6-185D6CED5114}"/>
    <cellStyle name="Normal 5 3 3 3 6" xfId="3829" xr:uid="{3BA04071-DE8D-4829-A9F6-B3AF543735E6}"/>
    <cellStyle name="Normal 5 3 3 3 6 2" xfId="6058" xr:uid="{52333DD9-AAE0-4749-AAB2-B6C9619CBF7D}"/>
    <cellStyle name="Normal 5 3 3 3 6 2 2" xfId="10276" xr:uid="{22A750FB-A096-4C6F-8108-52EEE3CDCF41}"/>
    <cellStyle name="Normal 5 3 3 3 6 3" xfId="8131" xr:uid="{F3FFF0B2-7CCC-42F5-A92C-B85AB5280B0D}"/>
    <cellStyle name="Normal 5 3 3 3 7" xfId="4265" xr:uid="{FC31BD20-349D-4B3E-BF68-75C7E9B18A80}"/>
    <cellStyle name="Normal 5 3 3 3 7 2" xfId="8544" xr:uid="{11B975E9-A74D-4611-B50C-18CF718DF193}"/>
    <cellStyle name="Normal 5 3 3 3 8" xfId="6479" xr:uid="{F09676E2-8053-4043-94A1-8E2CF8CC2429}"/>
    <cellStyle name="Normal 5 3 3 3 9" xfId="2175" xr:uid="{A90CF881-76A1-4BAB-9D2B-D40C6760F8D5}"/>
    <cellStyle name="Normal 5 3 3 4" xfId="451" xr:uid="{00000000-0005-0000-0000-000023030000}"/>
    <cellStyle name="Normal 5 3 3 4 10" xfId="10713" xr:uid="{9EDA7CFB-A87E-444B-91DA-B646804B97DF}"/>
    <cellStyle name="Normal 5 3 3 4 2" xfId="930" xr:uid="{00000000-0005-0000-0000-000024030000}"/>
    <cellStyle name="Normal 5 3 3 4 2 2" xfId="4821" xr:uid="{94050921-A59A-42D3-B084-E7AA30359722}"/>
    <cellStyle name="Normal 5 3 3 4 2 2 2" xfId="9039" xr:uid="{3E387DC3-BDD3-45A3-9121-804025660022}"/>
    <cellStyle name="Normal 5 3 3 4 2 3" xfId="6894" xr:uid="{AC920103-0DDF-4D1C-BE2C-7B13B425C84E}"/>
    <cellStyle name="Normal 5 3 3 4 2 4" xfId="2592" xr:uid="{0C1B3CF7-B93B-4C56-9B1E-53FEA6381046}"/>
    <cellStyle name="Normal 5 3 3 4 2 5" xfId="1763" xr:uid="{76CC791F-C497-4B21-80D4-3DF2150CE582}"/>
    <cellStyle name="Normal 5 3 3 4 2 6" xfId="11129" xr:uid="{470CA44A-9362-40BE-8585-C099E14D929A}"/>
    <cellStyle name="Normal 5 3 3 4 3" xfId="3005" xr:uid="{086B36AE-5CE5-4B96-B1C5-B3F2588FF9CD}"/>
    <cellStyle name="Normal 5 3 3 4 3 2" xfId="5234" xr:uid="{2F101C0C-1391-40EE-A1ED-FE2095D3E02C}"/>
    <cellStyle name="Normal 5 3 3 4 3 2 2" xfId="9452" xr:uid="{EA4E0BA3-B349-44A5-895D-23F5FC693D31}"/>
    <cellStyle name="Normal 5 3 3 4 3 3" xfId="7307" xr:uid="{4E28C3B8-45F9-44C5-8A72-4AAF9A1DA920}"/>
    <cellStyle name="Normal 5 3 3 4 4" xfId="3418" xr:uid="{4E601179-5715-4878-BC23-72A5F0D9EEDF}"/>
    <cellStyle name="Normal 5 3 3 4 4 2" xfId="5647" xr:uid="{6E4531F7-4749-4F44-85E8-DD2FCADBAB67}"/>
    <cellStyle name="Normal 5 3 3 4 4 2 2" xfId="9865" xr:uid="{128927B4-56A2-4B84-851E-017C04A67998}"/>
    <cellStyle name="Normal 5 3 3 4 4 3" xfId="7720" xr:uid="{82A157D4-4BA0-4403-BC4B-2573E29CE624}"/>
    <cellStyle name="Normal 5 3 3 4 5" xfId="3831" xr:uid="{735D80F0-227C-4347-9ADD-62A2149F46FE}"/>
    <cellStyle name="Normal 5 3 3 4 5 2" xfId="6060" xr:uid="{71599F6D-9FCB-4B04-A799-EBDAEB836C9C}"/>
    <cellStyle name="Normal 5 3 3 4 5 2 2" xfId="10278" xr:uid="{F9A29D11-7186-41F5-9361-67458C4DC9D8}"/>
    <cellStyle name="Normal 5 3 3 4 5 3" xfId="8133" xr:uid="{BD6CBA90-6845-46FC-9E78-F1F6CEEEB344}"/>
    <cellStyle name="Normal 5 3 3 4 6" xfId="4267" xr:uid="{CAD75CCF-543D-424D-B8D4-E9AC1FB6683D}"/>
    <cellStyle name="Normal 5 3 3 4 6 2" xfId="8546" xr:uid="{0D5BDCF8-8FA0-42CA-B5B5-D7BABA5676EB}"/>
    <cellStyle name="Normal 5 3 3 4 7" xfId="6481" xr:uid="{8A256095-7960-4F89-B90A-E8CDF6E9F104}"/>
    <cellStyle name="Normal 5 3 3 4 8" xfId="2177" xr:uid="{1C852326-9768-44F8-B866-C2CC4D7105BE}"/>
    <cellStyle name="Normal 5 3 3 4 9" xfId="1347" xr:uid="{499D4450-9F5C-4FE9-A1FC-21FBACD5B2C8}"/>
    <cellStyle name="Normal 5 3 3 5" xfId="923" xr:uid="{00000000-0005-0000-0000-000025030000}"/>
    <cellStyle name="Normal 5 3 3 5 2" xfId="4814" xr:uid="{B4F8D7DB-62DA-4D0F-BFEE-32E68FACAEDA}"/>
    <cellStyle name="Normal 5 3 3 5 2 2" xfId="9032" xr:uid="{8F08A3F4-78A0-42EF-9319-FA204D027B96}"/>
    <cellStyle name="Normal 5 3 3 5 3" xfId="6887" xr:uid="{45F30C92-9B7D-41CE-BEFC-6343FE789FEA}"/>
    <cellStyle name="Normal 5 3 3 5 4" xfId="2585" xr:uid="{4D660EB2-7065-47EE-A0C0-7BB2D1AD7968}"/>
    <cellStyle name="Normal 5 3 3 5 5" xfId="1756" xr:uid="{819AF013-54B7-4816-B3F7-0723BFC23034}"/>
    <cellStyle name="Normal 5 3 3 5 6" xfId="11122" xr:uid="{324C09D6-7970-4F9A-8B0F-18D00935572C}"/>
    <cellStyle name="Normal 5 3 3 6" xfId="2998" xr:uid="{5053A118-E158-481E-8CCA-AFDCB076A1AF}"/>
    <cellStyle name="Normal 5 3 3 6 2" xfId="5227" xr:uid="{9C35DA04-78CB-4F14-80D9-C9BDEBCF4DB3}"/>
    <cellStyle name="Normal 5 3 3 6 2 2" xfId="9445" xr:uid="{4E032F59-3788-4A14-8673-3E20D9225494}"/>
    <cellStyle name="Normal 5 3 3 6 3" xfId="7300" xr:uid="{ACE1005D-7B24-4BAB-A828-16D0553657E3}"/>
    <cellStyle name="Normal 5 3 3 7" xfId="3411" xr:uid="{B2981CFA-A7B5-40B2-968E-0FE42F27E13E}"/>
    <cellStyle name="Normal 5 3 3 7 2" xfId="5640" xr:uid="{CF66E093-50F1-4CCA-85C1-A49BF7190418}"/>
    <cellStyle name="Normal 5 3 3 7 2 2" xfId="9858" xr:uid="{45376B8D-385D-4848-BB0E-E791266E3FF6}"/>
    <cellStyle name="Normal 5 3 3 7 3" xfId="7713" xr:uid="{845B7741-9087-4F86-A1BB-7733506D9640}"/>
    <cellStyle name="Normal 5 3 3 8" xfId="3824" xr:uid="{5CC5F0F0-6E63-47A9-B65D-47E2D3D26CA7}"/>
    <cellStyle name="Normal 5 3 3 8 2" xfId="6053" xr:uid="{0484C746-E9E1-4669-8A7E-AB4B6AEDC751}"/>
    <cellStyle name="Normal 5 3 3 8 2 2" xfId="10271" xr:uid="{B2B93BE0-E6BD-4679-BB70-652B5098B851}"/>
    <cellStyle name="Normal 5 3 3 8 3" xfId="8126" xr:uid="{FC624E91-1168-4394-9718-3DADE7E46CD6}"/>
    <cellStyle name="Normal 5 3 3 9" xfId="4260" xr:uid="{E9275A0F-004D-4A13-88FB-21C7ED862C8F}"/>
    <cellStyle name="Normal 5 3 3 9 2" xfId="8539" xr:uid="{82258705-AD49-4997-BF59-72798E903F1F}"/>
    <cellStyle name="Normal 5 3 4" xfId="452" xr:uid="{00000000-0005-0000-0000-000026030000}"/>
    <cellStyle name="Normal 5 3 4 10" xfId="2178" xr:uid="{54F71616-771C-49E9-B256-F75C029ECDF8}"/>
    <cellStyle name="Normal 5 3 4 11" xfId="1348" xr:uid="{BB203F31-C845-4CAC-8842-545BA054962F}"/>
    <cellStyle name="Normal 5 3 4 12" xfId="10714" xr:uid="{ACEC7DD0-55E1-46E9-B7DF-6C4A69E06C07}"/>
    <cellStyle name="Normal 5 3 4 2" xfId="453" xr:uid="{00000000-0005-0000-0000-000027030000}"/>
    <cellStyle name="Normal 5 3 4 2 10" xfId="1349" xr:uid="{4E64B085-3F3A-4DE2-B2CA-98D05EDCBB6D}"/>
    <cellStyle name="Normal 5 3 4 2 11" xfId="10715" xr:uid="{5DCDEE4A-6130-476E-8B61-ECAE05541998}"/>
    <cellStyle name="Normal 5 3 4 2 2" xfId="454" xr:uid="{00000000-0005-0000-0000-000028030000}"/>
    <cellStyle name="Normal 5 3 4 2 2 10" xfId="10716" xr:uid="{533E2070-4844-4E3C-A8D3-2C40CEA3809D}"/>
    <cellStyle name="Normal 5 3 4 2 2 2" xfId="933" xr:uid="{00000000-0005-0000-0000-000029030000}"/>
    <cellStyle name="Normal 5 3 4 2 2 2 2" xfId="4824" xr:uid="{F5303BF4-6F50-42F3-A992-F23B8E19B1E6}"/>
    <cellStyle name="Normal 5 3 4 2 2 2 2 2" xfId="9042" xr:uid="{14993E98-30BB-408E-88EA-8F43AD4F8A11}"/>
    <cellStyle name="Normal 5 3 4 2 2 2 3" xfId="6897" xr:uid="{79EB1C5E-FB08-4206-90B7-943D307AA22A}"/>
    <cellStyle name="Normal 5 3 4 2 2 2 4" xfId="2595" xr:uid="{0F4DDE4C-5C17-4198-BB3A-5CE7AE948B7D}"/>
    <cellStyle name="Normal 5 3 4 2 2 2 5" xfId="1766" xr:uid="{256DAF05-FD04-4AAF-867F-10443145F0D4}"/>
    <cellStyle name="Normal 5 3 4 2 2 2 6" xfId="11132" xr:uid="{A36DB1D8-9735-4393-8CD5-3F39EF9DA7CC}"/>
    <cellStyle name="Normal 5 3 4 2 2 3" xfId="3008" xr:uid="{680FD5A2-A973-4FC2-A0BF-30E1F6660A2E}"/>
    <cellStyle name="Normal 5 3 4 2 2 3 2" xfId="5237" xr:uid="{1CBB2CB2-253B-49AF-8058-C126346F8009}"/>
    <cellStyle name="Normal 5 3 4 2 2 3 2 2" xfId="9455" xr:uid="{A8C4CDC6-2482-4770-A69D-3078B8434023}"/>
    <cellStyle name="Normal 5 3 4 2 2 3 3" xfId="7310" xr:uid="{52942D75-63C1-449E-897A-7CE3CC1D0354}"/>
    <cellStyle name="Normal 5 3 4 2 2 4" xfId="3421" xr:uid="{E14D8413-EFB5-499D-9E8A-F3E9098B2D2F}"/>
    <cellStyle name="Normal 5 3 4 2 2 4 2" xfId="5650" xr:uid="{9E2CFE7E-A7F6-4683-B6EC-46B95F332D40}"/>
    <cellStyle name="Normal 5 3 4 2 2 4 2 2" xfId="9868" xr:uid="{CB269013-8F4A-43FD-8543-4207B3F45F0A}"/>
    <cellStyle name="Normal 5 3 4 2 2 4 3" xfId="7723" xr:uid="{4DD1FA00-795A-49DF-BEC4-2D985AB5D839}"/>
    <cellStyle name="Normal 5 3 4 2 2 5" xfId="3834" xr:uid="{EE3B80C3-78D9-40FD-9288-55FD3CB03A7F}"/>
    <cellStyle name="Normal 5 3 4 2 2 5 2" xfId="6063" xr:uid="{A823332C-6B5B-49FD-9457-B2C77D72CEFE}"/>
    <cellStyle name="Normal 5 3 4 2 2 5 2 2" xfId="10281" xr:uid="{00E42683-6877-4254-92E3-E2BC8CA18BBC}"/>
    <cellStyle name="Normal 5 3 4 2 2 5 3" xfId="8136" xr:uid="{3D94C13F-76A3-4C3F-834E-2ADF2F11B032}"/>
    <cellStyle name="Normal 5 3 4 2 2 6" xfId="4270" xr:uid="{54AE6850-83AF-4311-B457-7C9858EA42C6}"/>
    <cellStyle name="Normal 5 3 4 2 2 6 2" xfId="8549" xr:uid="{A84E17ED-0291-4595-AAC7-1AA6D9EAE63A}"/>
    <cellStyle name="Normal 5 3 4 2 2 7" xfId="6484" xr:uid="{87F20707-0A36-43BB-BCB2-C588DB001F36}"/>
    <cellStyle name="Normal 5 3 4 2 2 8" xfId="2180" xr:uid="{73E3F8DE-8615-47EF-BE84-2A9B9EF5AB9D}"/>
    <cellStyle name="Normal 5 3 4 2 2 9" xfId="1350" xr:uid="{BA13B4A2-822D-4DF9-8CE1-626E4E8C423A}"/>
    <cellStyle name="Normal 5 3 4 2 3" xfId="932" xr:uid="{00000000-0005-0000-0000-00002A030000}"/>
    <cellStyle name="Normal 5 3 4 2 3 2" xfId="4823" xr:uid="{B09138C0-320A-4D77-ACE3-B287EDCA4E68}"/>
    <cellStyle name="Normal 5 3 4 2 3 2 2" xfId="9041" xr:uid="{F48AC6C4-0531-4A9E-B4A2-BF70177CD163}"/>
    <cellStyle name="Normal 5 3 4 2 3 3" xfId="6896" xr:uid="{35113C8F-2634-4ACA-99DC-3A4118F80A3F}"/>
    <cellStyle name="Normal 5 3 4 2 3 4" xfId="2594" xr:uid="{2EA3CE2A-D1E7-4CFB-87F6-E32E869375E6}"/>
    <cellStyle name="Normal 5 3 4 2 3 5" xfId="1765" xr:uid="{6E695859-0532-4830-981F-2922CFC72200}"/>
    <cellStyle name="Normal 5 3 4 2 3 6" xfId="11131" xr:uid="{0E41CADB-89B0-4F54-939E-3F8B87573100}"/>
    <cellStyle name="Normal 5 3 4 2 4" xfId="3007" xr:uid="{B139D0AD-D047-4EFE-96B9-A6EBF27C7ECA}"/>
    <cellStyle name="Normal 5 3 4 2 4 2" xfId="5236" xr:uid="{58F22318-D4E9-4FB1-903D-E02A1704222A}"/>
    <cellStyle name="Normal 5 3 4 2 4 2 2" xfId="9454" xr:uid="{5AD2BCC9-9CA4-4E70-A848-53D7FF86AFA0}"/>
    <cellStyle name="Normal 5 3 4 2 4 3" xfId="7309" xr:uid="{A8283066-4386-434D-A74E-F4E1425D03CB}"/>
    <cellStyle name="Normal 5 3 4 2 5" xfId="3420" xr:uid="{F23885D1-0C60-489F-8A63-401E578F79FD}"/>
    <cellStyle name="Normal 5 3 4 2 5 2" xfId="5649" xr:uid="{F23DC413-4704-4C00-90C0-DA3CC8A48581}"/>
    <cellStyle name="Normal 5 3 4 2 5 2 2" xfId="9867" xr:uid="{52B9025F-4126-48A2-AAC7-14BEC381F079}"/>
    <cellStyle name="Normal 5 3 4 2 5 3" xfId="7722" xr:uid="{9A24095F-C537-4B91-98B4-1605A1960870}"/>
    <cellStyle name="Normal 5 3 4 2 6" xfId="3833" xr:uid="{37A2644C-5F5D-49AB-B12D-41CE05BDAB73}"/>
    <cellStyle name="Normal 5 3 4 2 6 2" xfId="6062" xr:uid="{9E5FE62F-F218-4DFC-85DD-F26438028188}"/>
    <cellStyle name="Normal 5 3 4 2 6 2 2" xfId="10280" xr:uid="{07619CC8-AC93-4CE0-BFD0-687148829CC3}"/>
    <cellStyle name="Normal 5 3 4 2 6 3" xfId="8135" xr:uid="{D5AA7A2C-7259-4766-B5D9-350FA38935ED}"/>
    <cellStyle name="Normal 5 3 4 2 7" xfId="4269" xr:uid="{23C8ECCF-869B-42A6-B1A8-F30C235605B8}"/>
    <cellStyle name="Normal 5 3 4 2 7 2" xfId="8548" xr:uid="{75F058F1-FFBB-4AD0-9D80-B78B4FE5388F}"/>
    <cellStyle name="Normal 5 3 4 2 8" xfId="6483" xr:uid="{4343DA16-2662-42F9-BA86-71B4C9A7CBB5}"/>
    <cellStyle name="Normal 5 3 4 2 9" xfId="2179" xr:uid="{1A138685-69D7-4F3B-9A4F-3701C9A12145}"/>
    <cellStyle name="Normal 5 3 4 3" xfId="455" xr:uid="{00000000-0005-0000-0000-00002B030000}"/>
    <cellStyle name="Normal 5 3 4 3 10" xfId="10717" xr:uid="{803FC03A-31A8-48B7-BE24-D03EBFC85241}"/>
    <cellStyle name="Normal 5 3 4 3 2" xfId="934" xr:uid="{00000000-0005-0000-0000-00002C030000}"/>
    <cellStyle name="Normal 5 3 4 3 2 2" xfId="4825" xr:uid="{14A303E3-BF0A-40C9-AA45-CAC6492E2A3B}"/>
    <cellStyle name="Normal 5 3 4 3 2 2 2" xfId="9043" xr:uid="{79954BF9-C2D6-4B45-BED8-1D1B895377AD}"/>
    <cellStyle name="Normal 5 3 4 3 2 3" xfId="6898" xr:uid="{4241C992-54E3-4FF0-A965-1E9D2392D018}"/>
    <cellStyle name="Normal 5 3 4 3 2 4" xfId="2596" xr:uid="{220E29AB-0151-4F23-A9AB-97AE026A0446}"/>
    <cellStyle name="Normal 5 3 4 3 2 5" xfId="1767" xr:uid="{A0081F53-A282-4978-9173-D559FA618608}"/>
    <cellStyle name="Normal 5 3 4 3 2 6" xfId="11133" xr:uid="{A7AA0F25-CECC-4F85-A76E-CD5A29A1158A}"/>
    <cellStyle name="Normal 5 3 4 3 3" xfId="3009" xr:uid="{2ABD41C2-9167-4001-878B-51EB8A6412B2}"/>
    <cellStyle name="Normal 5 3 4 3 3 2" xfId="5238" xr:uid="{C90DE597-CEC5-4769-873D-288DB1F691C3}"/>
    <cellStyle name="Normal 5 3 4 3 3 2 2" xfId="9456" xr:uid="{34317B7A-0EFD-47C1-A67F-A5043652D9AE}"/>
    <cellStyle name="Normal 5 3 4 3 3 3" xfId="7311" xr:uid="{839432A5-4950-4B37-A983-3E67C235B6C7}"/>
    <cellStyle name="Normal 5 3 4 3 4" xfId="3422" xr:uid="{E3FD3B74-5F9E-47EA-95B8-D1B4B8E9869A}"/>
    <cellStyle name="Normal 5 3 4 3 4 2" xfId="5651" xr:uid="{2655A5CF-F8AB-4507-87DF-D2690379111D}"/>
    <cellStyle name="Normal 5 3 4 3 4 2 2" xfId="9869" xr:uid="{6039237C-953D-4062-ADE2-59551CCE8417}"/>
    <cellStyle name="Normal 5 3 4 3 4 3" xfId="7724" xr:uid="{28702446-9C7B-478D-AA6A-55A09CF598BC}"/>
    <cellStyle name="Normal 5 3 4 3 5" xfId="3835" xr:uid="{A79D4BB8-D10E-4E1E-9F69-EAFEF87ED4E8}"/>
    <cellStyle name="Normal 5 3 4 3 5 2" xfId="6064" xr:uid="{99721545-C2BE-4F69-8900-D23AB2F38058}"/>
    <cellStyle name="Normal 5 3 4 3 5 2 2" xfId="10282" xr:uid="{6448C28D-7B4F-44D7-9D61-AD304A7C1729}"/>
    <cellStyle name="Normal 5 3 4 3 5 3" xfId="8137" xr:uid="{B4BA13C7-2C4D-4139-B123-5A5F38195D41}"/>
    <cellStyle name="Normal 5 3 4 3 6" xfId="4271" xr:uid="{0F3820FD-D746-44AD-A607-D6B16718F9C4}"/>
    <cellStyle name="Normal 5 3 4 3 6 2" xfId="8550" xr:uid="{B1B59F23-94E7-4026-B81F-57E8D51429CD}"/>
    <cellStyle name="Normal 5 3 4 3 7" xfId="6485" xr:uid="{AC243F6F-DF0E-4BD1-8F59-BDEBF5082DEE}"/>
    <cellStyle name="Normal 5 3 4 3 8" xfId="2181" xr:uid="{9A78E844-DEE6-4304-99DA-63F66664A093}"/>
    <cellStyle name="Normal 5 3 4 3 9" xfId="1351" xr:uid="{372234C6-4A6A-413C-97E2-BFDAD26CF005}"/>
    <cellStyle name="Normal 5 3 4 4" xfId="931" xr:uid="{00000000-0005-0000-0000-00002D030000}"/>
    <cellStyle name="Normal 5 3 4 4 2" xfId="4822" xr:uid="{02FDCF78-130D-4E7C-A603-E2301F62BE93}"/>
    <cellStyle name="Normal 5 3 4 4 2 2" xfId="9040" xr:uid="{D8203B0A-FA4E-4C13-9705-9BCCD142A91E}"/>
    <cellStyle name="Normal 5 3 4 4 3" xfId="6895" xr:uid="{DDEB58EA-6728-47CD-B2AD-E1976694616F}"/>
    <cellStyle name="Normal 5 3 4 4 4" xfId="2593" xr:uid="{F8D201CF-045F-4F5E-B1B5-53B433BA9DA2}"/>
    <cellStyle name="Normal 5 3 4 4 5" xfId="1764" xr:uid="{AC29A720-E805-4E44-91F7-087E13D88F8F}"/>
    <cellStyle name="Normal 5 3 4 4 6" xfId="11130" xr:uid="{23787F82-0574-44FF-B982-4B0C5A342484}"/>
    <cellStyle name="Normal 5 3 4 5" xfId="3006" xr:uid="{7A4813C7-12C6-4478-8D30-6EFBC53E4AB6}"/>
    <cellStyle name="Normal 5 3 4 5 2" xfId="5235" xr:uid="{CF2D2261-8FF6-41EA-B4A8-C5723A7F79BB}"/>
    <cellStyle name="Normal 5 3 4 5 2 2" xfId="9453" xr:uid="{5484645D-D706-4398-983C-7099963EB374}"/>
    <cellStyle name="Normal 5 3 4 5 3" xfId="7308" xr:uid="{4F7C90DA-4FFC-4D3E-9F3D-B38E49623889}"/>
    <cellStyle name="Normal 5 3 4 6" xfId="3419" xr:uid="{893C760F-457B-4347-8F1F-81C0D62996BA}"/>
    <cellStyle name="Normal 5 3 4 6 2" xfId="5648" xr:uid="{D0ECBB38-260B-40E2-892F-20708D7C488C}"/>
    <cellStyle name="Normal 5 3 4 6 2 2" xfId="9866" xr:uid="{0E4991EA-69E4-40C6-87C0-AED5E1BBCFF7}"/>
    <cellStyle name="Normal 5 3 4 6 3" xfId="7721" xr:uid="{7CC00620-AB93-40ED-A695-1B13D39E7285}"/>
    <cellStyle name="Normal 5 3 4 7" xfId="3832" xr:uid="{0D7E75DE-EA44-457D-B6FA-A9D395401295}"/>
    <cellStyle name="Normal 5 3 4 7 2" xfId="6061" xr:uid="{5BC9BA21-96AA-4180-86B1-EB9D83948E6C}"/>
    <cellStyle name="Normal 5 3 4 7 2 2" xfId="10279" xr:uid="{2E5B07CF-5A5B-4F64-B911-11340986758E}"/>
    <cellStyle name="Normal 5 3 4 7 3" xfId="8134" xr:uid="{E6C78BB7-7C62-4DE0-8099-13173ED4FD9A}"/>
    <cellStyle name="Normal 5 3 4 8" xfId="4268" xr:uid="{50D47C48-69E6-44BF-A05B-E470F72F785B}"/>
    <cellStyle name="Normal 5 3 4 8 2" xfId="8547" xr:uid="{3D61AE7E-E96C-4195-AE4A-FA3AB0056346}"/>
    <cellStyle name="Normal 5 3 4 9" xfId="6482" xr:uid="{48908EFE-DBE6-408A-A03D-714CBB0128DB}"/>
    <cellStyle name="Normal 5 3 5" xfId="456" xr:uid="{00000000-0005-0000-0000-00002E030000}"/>
    <cellStyle name="Normal 5 3 5 10" xfId="1352" xr:uid="{B79673E4-05B8-40A5-9D31-9D8D388A488D}"/>
    <cellStyle name="Normal 5 3 5 11" xfId="10718" xr:uid="{FD59ACE3-28F2-4BA4-9B7B-4F9205C0ECE7}"/>
    <cellStyle name="Normal 5 3 5 2" xfId="457" xr:uid="{00000000-0005-0000-0000-00002F030000}"/>
    <cellStyle name="Normal 5 3 5 2 10" xfId="10719" xr:uid="{F94A2BCE-427F-4A12-A20C-FD74217518B9}"/>
    <cellStyle name="Normal 5 3 5 2 2" xfId="936" xr:uid="{00000000-0005-0000-0000-000030030000}"/>
    <cellStyle name="Normal 5 3 5 2 2 2" xfId="4827" xr:uid="{28DE6FF6-F1DD-41E0-9BE5-05A82BD65D42}"/>
    <cellStyle name="Normal 5 3 5 2 2 2 2" xfId="9045" xr:uid="{68028097-94A3-40D4-A7DD-B92280A2F762}"/>
    <cellStyle name="Normal 5 3 5 2 2 3" xfId="6900" xr:uid="{0D6267C2-CF91-49AA-9D80-69F9C2A3E4C7}"/>
    <cellStyle name="Normal 5 3 5 2 2 4" xfId="2598" xr:uid="{F7B4F263-54CE-4DA5-ACBC-38182E18C371}"/>
    <cellStyle name="Normal 5 3 5 2 2 5" xfId="1769" xr:uid="{838E4F85-A1DD-4A79-93AA-8FA8ADA5BD0D}"/>
    <cellStyle name="Normal 5 3 5 2 2 6" xfId="11135" xr:uid="{A163A43D-A2C7-4335-B94F-F16929777F50}"/>
    <cellStyle name="Normal 5 3 5 2 3" xfId="3011" xr:uid="{DDEE2E2F-70D4-4023-89A9-08A8DF779BFF}"/>
    <cellStyle name="Normal 5 3 5 2 3 2" xfId="5240" xr:uid="{A9D3C056-0852-41F2-91B8-E0288CA0B6F2}"/>
    <cellStyle name="Normal 5 3 5 2 3 2 2" xfId="9458" xr:uid="{362EC7A9-39DE-47D0-8906-1C26D6BBE526}"/>
    <cellStyle name="Normal 5 3 5 2 3 3" xfId="7313" xr:uid="{F53E6419-C6C8-4DCB-AD28-09B63682CDD9}"/>
    <cellStyle name="Normal 5 3 5 2 4" xfId="3424" xr:uid="{54B197C5-52B1-4DF8-BA91-335BDD657BBA}"/>
    <cellStyle name="Normal 5 3 5 2 4 2" xfId="5653" xr:uid="{F46FFBC3-070E-4F7F-BD02-574FF8DF9F34}"/>
    <cellStyle name="Normal 5 3 5 2 4 2 2" xfId="9871" xr:uid="{0BCA971C-4B5D-4B55-9032-42815C24E826}"/>
    <cellStyle name="Normal 5 3 5 2 4 3" xfId="7726" xr:uid="{E60324EE-88A0-4973-B589-05ABD53A33DB}"/>
    <cellStyle name="Normal 5 3 5 2 5" xfId="3837" xr:uid="{3D7A89BB-C1CA-419B-AA6C-A3D068C7B2A6}"/>
    <cellStyle name="Normal 5 3 5 2 5 2" xfId="6066" xr:uid="{2918AB38-55FE-4C6D-9A0F-147D513157BD}"/>
    <cellStyle name="Normal 5 3 5 2 5 2 2" xfId="10284" xr:uid="{FCFFCDA3-4EA6-4BE1-85B0-24483F497CA0}"/>
    <cellStyle name="Normal 5 3 5 2 5 3" xfId="8139" xr:uid="{BDFA056B-6512-47ED-A34E-6F677FE7DAFE}"/>
    <cellStyle name="Normal 5 3 5 2 6" xfId="4273" xr:uid="{4D7CDE53-BD63-450E-859C-FE6B8266F12D}"/>
    <cellStyle name="Normal 5 3 5 2 6 2" xfId="8552" xr:uid="{73B6DF75-6D70-4E89-BCAB-380539198AC4}"/>
    <cellStyle name="Normal 5 3 5 2 7" xfId="6487" xr:uid="{0B1FBE64-0B95-4B11-8D6D-4E3697DC4015}"/>
    <cellStyle name="Normal 5 3 5 2 8" xfId="2183" xr:uid="{45E69017-480F-4D5D-A603-709FF424E18A}"/>
    <cellStyle name="Normal 5 3 5 2 9" xfId="1353" xr:uid="{852FD43B-F88C-4DD7-B5C9-81BBC75C559B}"/>
    <cellStyle name="Normal 5 3 5 3" xfId="935" xr:uid="{00000000-0005-0000-0000-000031030000}"/>
    <cellStyle name="Normal 5 3 5 3 2" xfId="4826" xr:uid="{571FF64B-8A26-4FF6-A73D-80DA2FFC6915}"/>
    <cellStyle name="Normal 5 3 5 3 2 2" xfId="9044" xr:uid="{82498E1D-F6DC-4FC4-AB45-2D2CF32D8602}"/>
    <cellStyle name="Normal 5 3 5 3 3" xfId="6899" xr:uid="{9D84AC20-D444-4F3C-897A-F504D719C0EC}"/>
    <cellStyle name="Normal 5 3 5 3 4" xfId="2597" xr:uid="{8725AF92-584C-403B-89AC-B151C4E032F8}"/>
    <cellStyle name="Normal 5 3 5 3 5" xfId="1768" xr:uid="{7E344665-E4EB-427C-AC35-2EE1E68FC476}"/>
    <cellStyle name="Normal 5 3 5 3 6" xfId="11134" xr:uid="{1D87390D-EC35-40EE-8553-920A2F599CDA}"/>
    <cellStyle name="Normal 5 3 5 4" xfId="3010" xr:uid="{EE5A78A8-F017-4D93-B026-48B7866C3BC5}"/>
    <cellStyle name="Normal 5 3 5 4 2" xfId="5239" xr:uid="{1CEF25C2-3FF4-4EC1-A2E6-2846F6BAA3DE}"/>
    <cellStyle name="Normal 5 3 5 4 2 2" xfId="9457" xr:uid="{756AA656-CA55-4D9C-AC8B-6BDCED11831E}"/>
    <cellStyle name="Normal 5 3 5 4 3" xfId="7312" xr:uid="{A77D9527-60C2-4A83-8010-17539EFAF9B4}"/>
    <cellStyle name="Normal 5 3 5 5" xfId="3423" xr:uid="{4815889A-0EF2-4D47-9D6F-9E5D7289DDFA}"/>
    <cellStyle name="Normal 5 3 5 5 2" xfId="5652" xr:uid="{445BCD64-5DCC-4E72-A9A9-783A0130E999}"/>
    <cellStyle name="Normal 5 3 5 5 2 2" xfId="9870" xr:uid="{F497C116-3700-4717-AE24-E2962D652038}"/>
    <cellStyle name="Normal 5 3 5 5 3" xfId="7725" xr:uid="{954A2069-DF92-48D0-B649-B39CEE1F2F17}"/>
    <cellStyle name="Normal 5 3 5 6" xfId="3836" xr:uid="{51004925-923D-4434-B6C3-592547C0A816}"/>
    <cellStyle name="Normal 5 3 5 6 2" xfId="6065" xr:uid="{4D541467-9058-4083-892A-BC1D3E743564}"/>
    <cellStyle name="Normal 5 3 5 6 2 2" xfId="10283" xr:uid="{14948AEE-E0CF-4C73-B18F-8E8E5B22313C}"/>
    <cellStyle name="Normal 5 3 5 6 3" xfId="8138" xr:uid="{36CF8C7F-0C71-478A-9DB8-DAE8DC5E2369}"/>
    <cellStyle name="Normal 5 3 5 7" xfId="4272" xr:uid="{89AD3C09-0069-401E-8F33-E525ED3CD9F1}"/>
    <cellStyle name="Normal 5 3 5 7 2" xfId="8551" xr:uid="{BAE868D7-2152-4A3D-BA6C-04795F1DDDD0}"/>
    <cellStyle name="Normal 5 3 5 8" xfId="6486" xr:uid="{1B231C1B-AA7E-4303-AAD4-265991FBF481}"/>
    <cellStyle name="Normal 5 3 5 9" xfId="2182" xr:uid="{33824BB5-739A-435B-8890-D3A1B1979A03}"/>
    <cellStyle name="Normal 5 3 6" xfId="458" xr:uid="{00000000-0005-0000-0000-000032030000}"/>
    <cellStyle name="Normal 5 3 6 10" xfId="10720" xr:uid="{32CAE3A7-64C6-4567-8B3E-17F475ED3452}"/>
    <cellStyle name="Normal 5 3 6 2" xfId="937" xr:uid="{00000000-0005-0000-0000-000033030000}"/>
    <cellStyle name="Normal 5 3 6 2 2" xfId="4828" xr:uid="{8E56F57F-D567-4BA5-A938-42AE4B4800B8}"/>
    <cellStyle name="Normal 5 3 6 2 2 2" xfId="9046" xr:uid="{4A8DBC0F-469B-4B25-A8DF-DDEF1057944E}"/>
    <cellStyle name="Normal 5 3 6 2 3" xfId="6901" xr:uid="{DC12874D-05D2-4DC9-AAF4-D9F3489F2C73}"/>
    <cellStyle name="Normal 5 3 6 2 4" xfId="2599" xr:uid="{A99B770D-2814-4146-8E6B-69F6FE24CD1D}"/>
    <cellStyle name="Normal 5 3 6 2 5" xfId="1770" xr:uid="{F0238335-214E-4E2B-B423-754E80D30919}"/>
    <cellStyle name="Normal 5 3 6 2 6" xfId="11136" xr:uid="{69395885-D94A-48C4-81E4-87D3FA882FAF}"/>
    <cellStyle name="Normal 5 3 6 3" xfId="3012" xr:uid="{08D8F95E-1F9C-4078-AAAA-99CD1C051749}"/>
    <cellStyle name="Normal 5 3 6 3 2" xfId="5241" xr:uid="{66F9B23B-63B1-4E72-B304-BF824D219526}"/>
    <cellStyle name="Normal 5 3 6 3 2 2" xfId="9459" xr:uid="{E2BDD335-1940-4953-A64D-41CAD5530BAE}"/>
    <cellStyle name="Normal 5 3 6 3 3" xfId="7314" xr:uid="{32FA73A2-2ED4-4594-A721-A51D975596A8}"/>
    <cellStyle name="Normal 5 3 6 4" xfId="3425" xr:uid="{B4C5991D-B779-4F89-8A0A-1976893713B1}"/>
    <cellStyle name="Normal 5 3 6 4 2" xfId="5654" xr:uid="{CFEDBE58-48C3-465A-975E-5DD7060B8C40}"/>
    <cellStyle name="Normal 5 3 6 4 2 2" xfId="9872" xr:uid="{737B7025-1DAE-4E1F-ACB1-01BBCD4B6013}"/>
    <cellStyle name="Normal 5 3 6 4 3" xfId="7727" xr:uid="{88E6369E-A4B6-4AA7-857A-B61E07F66926}"/>
    <cellStyle name="Normal 5 3 6 5" xfId="3838" xr:uid="{57AB103E-675E-408A-8810-62280A3DDA11}"/>
    <cellStyle name="Normal 5 3 6 5 2" xfId="6067" xr:uid="{3C1694AD-D1A1-4093-84F7-755E9A82CF73}"/>
    <cellStyle name="Normal 5 3 6 5 2 2" xfId="10285" xr:uid="{3F4CDB14-32B1-4B48-96C6-E39E336911D8}"/>
    <cellStyle name="Normal 5 3 6 5 3" xfId="8140" xr:uid="{97CC5096-DDF6-47C6-A071-9B44B56DB652}"/>
    <cellStyle name="Normal 5 3 6 6" xfId="4274" xr:uid="{49208BF9-BC39-422C-9131-9E96D40AF4A9}"/>
    <cellStyle name="Normal 5 3 6 6 2" xfId="8553" xr:uid="{F680B930-C117-41A9-80A0-40CBED57FE27}"/>
    <cellStyle name="Normal 5 3 6 7" xfId="6488" xr:uid="{30FBB8D3-9010-49D0-9FA4-81DE942A1528}"/>
    <cellStyle name="Normal 5 3 6 8" xfId="2184" xr:uid="{2D6844EC-C9E1-4683-8DEC-D12B52D6C65B}"/>
    <cellStyle name="Normal 5 3 6 9" xfId="1354" xr:uid="{A98D4963-D30B-4870-ABFE-F5E6F6279AE7}"/>
    <cellStyle name="Normal 5 3 7" xfId="921" xr:uid="{00000000-0005-0000-0000-000034030000}"/>
    <cellStyle name="Normal 5 3 7 2" xfId="4813" xr:uid="{968D5605-4536-4BB1-98D3-DABB5BDB1CC3}"/>
    <cellStyle name="Normal 5 3 7 2 2" xfId="9031" xr:uid="{47A0A624-41F8-4982-8AD5-410A3CB7A1E9}"/>
    <cellStyle name="Normal 5 3 7 3" xfId="6886" xr:uid="{EBD21D7E-C0C2-405C-9A0B-F0AF0D5E3A98}"/>
    <cellStyle name="Normal 5 3 7 4" xfId="2584" xr:uid="{E097655B-EFF4-482B-AD6A-71E984F0C7F9}"/>
    <cellStyle name="Normal 5 3 7 5" xfId="1755" xr:uid="{7A2E43AA-37C0-4FFE-AD8A-87F8A51C3226}"/>
    <cellStyle name="Normal 5 3 7 6" xfId="11121" xr:uid="{495F194B-3805-46CE-B0D8-C17F448CF615}"/>
    <cellStyle name="Normal 5 3 8" xfId="2997" xr:uid="{062B31ED-709D-4549-BAA1-3B0EF6F50C61}"/>
    <cellStyle name="Normal 5 3 8 2" xfId="5226" xr:uid="{2B10CB0F-5D5A-412D-A30D-09A664FE9A3C}"/>
    <cellStyle name="Normal 5 3 8 2 2" xfId="9444" xr:uid="{6E9B65E8-FE44-4FE2-BFCD-C0B4535908EC}"/>
    <cellStyle name="Normal 5 3 8 3" xfId="7299" xr:uid="{87C8FD73-30B9-4291-BB93-CAA262E5CE44}"/>
    <cellStyle name="Normal 5 3 9" xfId="3410" xr:uid="{6AB0E2E6-C304-4A3C-AF22-BC90EE5A1965}"/>
    <cellStyle name="Normal 5 3 9 2" xfId="5639" xr:uid="{49BC4B0F-6E90-4960-8E5B-86AF7892AAF4}"/>
    <cellStyle name="Normal 5 3 9 2 2" xfId="9857" xr:uid="{BE9FAF52-6052-4AE0-8618-33A4FB6E3E9B}"/>
    <cellStyle name="Normal 5 3 9 3" xfId="7712" xr:uid="{4C80A879-C1E4-4E25-BABD-CD1530B53926}"/>
    <cellStyle name="Normal 5 4" xfId="459" xr:uid="{00000000-0005-0000-0000-000035030000}"/>
    <cellStyle name="Normal 5 4 10" xfId="6489" xr:uid="{7E24CBFB-7151-4E0C-BE5A-B2103B7E477D}"/>
    <cellStyle name="Normal 5 4 11" xfId="2185" xr:uid="{E17EF633-32C4-4061-B1F8-CBBCF790D9A8}"/>
    <cellStyle name="Normal 5 4 12" xfId="1355" xr:uid="{6F5A1E71-D66A-4CC0-997E-3CDE13B93B49}"/>
    <cellStyle name="Normal 5 4 13" xfId="10721" xr:uid="{83635D87-F975-41F8-B93C-004F6448F9B7}"/>
    <cellStyle name="Normal 5 4 2" xfId="460" xr:uid="{00000000-0005-0000-0000-000036030000}"/>
    <cellStyle name="Normal 5 4 2 10" xfId="2186" xr:uid="{0C6006CE-32E0-4173-B15D-03D0EDF636F8}"/>
    <cellStyle name="Normal 5 4 2 11" xfId="1356" xr:uid="{29952885-1456-4D8E-A6A3-394E933184D0}"/>
    <cellStyle name="Normal 5 4 2 12" xfId="10722" xr:uid="{4A30B13D-AF8C-42B8-86E8-35A5C83C9036}"/>
    <cellStyle name="Normal 5 4 2 2" xfId="461" xr:uid="{00000000-0005-0000-0000-000037030000}"/>
    <cellStyle name="Normal 5 4 2 2 10" xfId="1357" xr:uid="{41B2DAD7-F1AE-491E-8AE6-961B1E877515}"/>
    <cellStyle name="Normal 5 4 2 2 11" xfId="10723" xr:uid="{99FBDA8F-4315-4385-81A9-7AA1F8C098E0}"/>
    <cellStyle name="Normal 5 4 2 2 2" xfId="462" xr:uid="{00000000-0005-0000-0000-000038030000}"/>
    <cellStyle name="Normal 5 4 2 2 2 10" xfId="10724" xr:uid="{304A8324-B9BA-4C46-9F27-814A5BDB9B47}"/>
    <cellStyle name="Normal 5 4 2 2 2 2" xfId="941" xr:uid="{00000000-0005-0000-0000-000039030000}"/>
    <cellStyle name="Normal 5 4 2 2 2 2 2" xfId="4832" xr:uid="{8EE09B5F-C381-4040-8D69-564D454EC304}"/>
    <cellStyle name="Normal 5 4 2 2 2 2 2 2" xfId="9050" xr:uid="{A946AA0D-FCA9-4E92-8762-055CCAE542C2}"/>
    <cellStyle name="Normal 5 4 2 2 2 2 3" xfId="6905" xr:uid="{EDBC4F47-E080-4CA1-B8EE-1E49AE5AEB07}"/>
    <cellStyle name="Normal 5 4 2 2 2 2 4" xfId="2603" xr:uid="{F4404EB5-A8EE-4454-B63A-1C4CC6FED043}"/>
    <cellStyle name="Normal 5 4 2 2 2 2 5" xfId="1774" xr:uid="{087643F5-2C72-40C3-A8A5-59BDA536B303}"/>
    <cellStyle name="Normal 5 4 2 2 2 2 6" xfId="11140" xr:uid="{232B740E-90C2-454E-97EA-BEC0BB359A41}"/>
    <cellStyle name="Normal 5 4 2 2 2 3" xfId="3016" xr:uid="{8CEDE115-742A-4B31-99F0-DF980E9E13D7}"/>
    <cellStyle name="Normal 5 4 2 2 2 3 2" xfId="5245" xr:uid="{C0669BA4-2E42-4250-8B46-734A4E1FFFAD}"/>
    <cellStyle name="Normal 5 4 2 2 2 3 2 2" xfId="9463" xr:uid="{CC7DA1B6-F4B6-46B7-BBC0-0B19CDDCAACF}"/>
    <cellStyle name="Normal 5 4 2 2 2 3 3" xfId="7318" xr:uid="{D8955B28-F871-4C4A-856A-78BA177A23FA}"/>
    <cellStyle name="Normal 5 4 2 2 2 4" xfId="3429" xr:uid="{11FC9F51-0D16-4C88-AF18-D76A774F9F02}"/>
    <cellStyle name="Normal 5 4 2 2 2 4 2" xfId="5658" xr:uid="{D52DE5A4-8E57-421B-B4EE-0B9FFDF3DAF3}"/>
    <cellStyle name="Normal 5 4 2 2 2 4 2 2" xfId="9876" xr:uid="{CEAF89F8-7F70-43D0-A2CF-622A03D17A67}"/>
    <cellStyle name="Normal 5 4 2 2 2 4 3" xfId="7731" xr:uid="{5F336643-77C3-40EC-891D-9F643395A3B4}"/>
    <cellStyle name="Normal 5 4 2 2 2 5" xfId="3842" xr:uid="{CCC8E55F-D0AF-41FE-81D3-35858D7B44FB}"/>
    <cellStyle name="Normal 5 4 2 2 2 5 2" xfId="6071" xr:uid="{4F5A66CF-BCE1-4475-8807-5E0FFFE971D7}"/>
    <cellStyle name="Normal 5 4 2 2 2 5 2 2" xfId="10289" xr:uid="{20751271-858C-45BF-95F2-958D9879DF10}"/>
    <cellStyle name="Normal 5 4 2 2 2 5 3" xfId="8144" xr:uid="{C9836F25-E178-4934-A3B2-F1554E3542B0}"/>
    <cellStyle name="Normal 5 4 2 2 2 6" xfId="4278" xr:uid="{4526F2A9-263D-4C8B-8D09-247131E0E61D}"/>
    <cellStyle name="Normal 5 4 2 2 2 6 2" xfId="8557" xr:uid="{927D1517-BC9A-4662-9856-EE8B559703BD}"/>
    <cellStyle name="Normal 5 4 2 2 2 7" xfId="6492" xr:uid="{AEE5ACF7-A77F-4B7A-A04F-7327F9A4EE9F}"/>
    <cellStyle name="Normal 5 4 2 2 2 8" xfId="2188" xr:uid="{5EECFBF1-862D-4B5D-9631-FD9CF8474DD8}"/>
    <cellStyle name="Normal 5 4 2 2 2 9" xfId="1358" xr:uid="{6F06C13A-DB2C-4D0E-A0F7-E0229EC44631}"/>
    <cellStyle name="Normal 5 4 2 2 3" xfId="940" xr:uid="{00000000-0005-0000-0000-00003A030000}"/>
    <cellStyle name="Normal 5 4 2 2 3 2" xfId="4831" xr:uid="{D920EABE-FC32-432F-B137-B135A8CAE54E}"/>
    <cellStyle name="Normal 5 4 2 2 3 2 2" xfId="9049" xr:uid="{8B973B91-9E80-48C0-A257-72E115E93D34}"/>
    <cellStyle name="Normal 5 4 2 2 3 3" xfId="6904" xr:uid="{EEEDE9CF-15CB-49C5-93E7-8BE2E9696CF5}"/>
    <cellStyle name="Normal 5 4 2 2 3 4" xfId="2602" xr:uid="{1B93A257-00A9-481C-A349-B8D4D5779511}"/>
    <cellStyle name="Normal 5 4 2 2 3 5" xfId="1773" xr:uid="{067F10DA-CA9C-474F-B023-9EDA8039D31F}"/>
    <cellStyle name="Normal 5 4 2 2 3 6" xfId="11139" xr:uid="{AB746F0A-466A-41A1-B1C1-D52E686040C4}"/>
    <cellStyle name="Normal 5 4 2 2 4" xfId="3015" xr:uid="{7F15F596-D902-4540-AC63-78F43271239E}"/>
    <cellStyle name="Normal 5 4 2 2 4 2" xfId="5244" xr:uid="{B938C1F8-2CF2-4803-93EA-A34357B496E7}"/>
    <cellStyle name="Normal 5 4 2 2 4 2 2" xfId="9462" xr:uid="{A6F6E409-C42F-44C4-9061-BBA65C2FC2A8}"/>
    <cellStyle name="Normal 5 4 2 2 4 3" xfId="7317" xr:uid="{ED752F89-A749-4AC8-A1AE-FD9AD6D1A717}"/>
    <cellStyle name="Normal 5 4 2 2 5" xfId="3428" xr:uid="{2E1BF665-DE78-46C0-AC06-33B9C3206EE3}"/>
    <cellStyle name="Normal 5 4 2 2 5 2" xfId="5657" xr:uid="{712CB0DA-FA33-41BC-BDD2-E62E209BC782}"/>
    <cellStyle name="Normal 5 4 2 2 5 2 2" xfId="9875" xr:uid="{C4BF4899-A20A-4FD8-B236-6EB67C8D5E38}"/>
    <cellStyle name="Normal 5 4 2 2 5 3" xfId="7730" xr:uid="{FAB1002D-2E99-49D0-8DBE-785B22E55D2D}"/>
    <cellStyle name="Normal 5 4 2 2 6" xfId="3841" xr:uid="{D9D58A76-FB27-4676-AE52-4D71DBE37188}"/>
    <cellStyle name="Normal 5 4 2 2 6 2" xfId="6070" xr:uid="{65D683B5-F576-4CCB-B646-D76AC5F516CE}"/>
    <cellStyle name="Normal 5 4 2 2 6 2 2" xfId="10288" xr:uid="{420DFC6D-56BC-4D7A-9AAF-BDFC1F7C12D9}"/>
    <cellStyle name="Normal 5 4 2 2 6 3" xfId="8143" xr:uid="{E7341D1F-5FD9-4771-B672-A526652E36F1}"/>
    <cellStyle name="Normal 5 4 2 2 7" xfId="4277" xr:uid="{86CCB354-0AC8-435D-A71B-CFF104F4A06F}"/>
    <cellStyle name="Normal 5 4 2 2 7 2" xfId="8556" xr:uid="{C3B325C3-E27F-449C-9009-1BF471688CF7}"/>
    <cellStyle name="Normal 5 4 2 2 8" xfId="6491" xr:uid="{FCCD7B4A-00BE-414E-926E-25902BE53B70}"/>
    <cellStyle name="Normal 5 4 2 2 9" xfId="2187" xr:uid="{BD9FED28-4DDB-4A74-916F-FAA26330083D}"/>
    <cellStyle name="Normal 5 4 2 3" xfId="463" xr:uid="{00000000-0005-0000-0000-00003B030000}"/>
    <cellStyle name="Normal 5 4 2 3 10" xfId="10725" xr:uid="{0F4828F0-3E26-4422-8938-42EC19347B4A}"/>
    <cellStyle name="Normal 5 4 2 3 2" xfId="942" xr:uid="{00000000-0005-0000-0000-00003C030000}"/>
    <cellStyle name="Normal 5 4 2 3 2 2" xfId="4833" xr:uid="{13981610-10FD-438D-819A-00AC4728D658}"/>
    <cellStyle name="Normal 5 4 2 3 2 2 2" xfId="9051" xr:uid="{3AF05A0A-7C51-442A-8CCD-5719F9C9185C}"/>
    <cellStyle name="Normal 5 4 2 3 2 3" xfId="6906" xr:uid="{79E25136-58A3-4A62-9394-1A6DEEF005A5}"/>
    <cellStyle name="Normal 5 4 2 3 2 4" xfId="2604" xr:uid="{FC4DE1E5-CADD-4E46-8406-49A9FA78F58E}"/>
    <cellStyle name="Normal 5 4 2 3 2 5" xfId="1775" xr:uid="{3B7B7D59-2409-4FD3-BF73-260DAF130301}"/>
    <cellStyle name="Normal 5 4 2 3 2 6" xfId="11141" xr:uid="{859D6194-3A8A-4CED-9559-51654D1EA546}"/>
    <cellStyle name="Normal 5 4 2 3 3" xfId="3017" xr:uid="{5289C08D-51C7-4C05-B104-173C156069F9}"/>
    <cellStyle name="Normal 5 4 2 3 3 2" xfId="5246" xr:uid="{1965B2C9-7225-42E8-9AC7-350DABBC9EDE}"/>
    <cellStyle name="Normal 5 4 2 3 3 2 2" xfId="9464" xr:uid="{ADE92299-764D-4D80-A04F-BAB7E3001701}"/>
    <cellStyle name="Normal 5 4 2 3 3 3" xfId="7319" xr:uid="{8C05BE12-E0B8-4D62-A1AB-A7D67347D5DF}"/>
    <cellStyle name="Normal 5 4 2 3 4" xfId="3430" xr:uid="{5F50C9B3-8040-4167-B001-A39555A8ACAF}"/>
    <cellStyle name="Normal 5 4 2 3 4 2" xfId="5659" xr:uid="{4461954E-9FAF-4C3A-BA81-A9F62F82D995}"/>
    <cellStyle name="Normal 5 4 2 3 4 2 2" xfId="9877" xr:uid="{E65F3DE3-7A8E-4E55-8B84-A00BAD8B1F7E}"/>
    <cellStyle name="Normal 5 4 2 3 4 3" xfId="7732" xr:uid="{B46C88AD-009B-49B6-8A50-0BF70215F981}"/>
    <cellStyle name="Normal 5 4 2 3 5" xfId="3843" xr:uid="{09E373AC-B424-4A8D-8A16-A47223429504}"/>
    <cellStyle name="Normal 5 4 2 3 5 2" xfId="6072" xr:uid="{1DB01109-7275-4916-AF0A-4533376934A1}"/>
    <cellStyle name="Normal 5 4 2 3 5 2 2" xfId="10290" xr:uid="{FD362BB1-ACF0-4F16-9FED-6F71D9AB5891}"/>
    <cellStyle name="Normal 5 4 2 3 5 3" xfId="8145" xr:uid="{2EF13A59-EE38-4D1F-B86C-810D7FD03D24}"/>
    <cellStyle name="Normal 5 4 2 3 6" xfId="4279" xr:uid="{7929A044-9DFD-455C-8AFB-561AAF1A9F43}"/>
    <cellStyle name="Normal 5 4 2 3 6 2" xfId="8558" xr:uid="{35D29D66-B787-4C29-A33C-16F7323D7F17}"/>
    <cellStyle name="Normal 5 4 2 3 7" xfId="6493" xr:uid="{2C9470CC-3499-4117-A8CC-267DF287457D}"/>
    <cellStyle name="Normal 5 4 2 3 8" xfId="2189" xr:uid="{8A947B18-5425-4742-B618-4065BA36A858}"/>
    <cellStyle name="Normal 5 4 2 3 9" xfId="1359" xr:uid="{9F69E6F2-8B7F-4B72-B838-7D5C47E40CA4}"/>
    <cellStyle name="Normal 5 4 2 4" xfId="939" xr:uid="{00000000-0005-0000-0000-00003D030000}"/>
    <cellStyle name="Normal 5 4 2 4 2" xfId="4830" xr:uid="{D2FD3999-BAAB-4485-8635-A284C74D516F}"/>
    <cellStyle name="Normal 5 4 2 4 2 2" xfId="9048" xr:uid="{9DC43BC9-44BC-48F0-AA51-F34E2C3D1124}"/>
    <cellStyle name="Normal 5 4 2 4 3" xfId="6903" xr:uid="{D537CF25-D154-4DE5-9CEA-E0CC9CD12275}"/>
    <cellStyle name="Normal 5 4 2 4 4" xfId="2601" xr:uid="{82BA732E-1395-48F3-A9F6-BEED0C4A17C0}"/>
    <cellStyle name="Normal 5 4 2 4 5" xfId="1772" xr:uid="{19B20537-5406-4A53-A4FF-71D172EC3951}"/>
    <cellStyle name="Normal 5 4 2 4 6" xfId="11138" xr:uid="{63BEE085-FF66-4527-B1E4-B36542281738}"/>
    <cellStyle name="Normal 5 4 2 5" xfId="3014" xr:uid="{5551D52B-1B0E-429F-A71B-335E8EF3DADD}"/>
    <cellStyle name="Normal 5 4 2 5 2" xfId="5243" xr:uid="{454DE5B0-E357-4CF7-B328-F1C1E3F99FFA}"/>
    <cellStyle name="Normal 5 4 2 5 2 2" xfId="9461" xr:uid="{3D20ADF8-E434-4BEC-A16B-8D4A63696D94}"/>
    <cellStyle name="Normal 5 4 2 5 3" xfId="7316" xr:uid="{7285227E-D556-49DE-9905-2CF706497BE4}"/>
    <cellStyle name="Normal 5 4 2 6" xfId="3427" xr:uid="{62437567-0495-439D-94DA-04741D8BF9DF}"/>
    <cellStyle name="Normal 5 4 2 6 2" xfId="5656" xr:uid="{CE0FD705-C982-4BAD-8F2F-E16AE81A1EAE}"/>
    <cellStyle name="Normal 5 4 2 6 2 2" xfId="9874" xr:uid="{BD4D6CEF-56EB-4B5C-9D76-46468AA92979}"/>
    <cellStyle name="Normal 5 4 2 6 3" xfId="7729" xr:uid="{D1DD43CA-9919-47FE-BDAE-C426575EB479}"/>
    <cellStyle name="Normal 5 4 2 7" xfId="3840" xr:uid="{34A682AE-5D8A-4164-9966-1F59A7851B7A}"/>
    <cellStyle name="Normal 5 4 2 7 2" xfId="6069" xr:uid="{1E8C6616-ECF6-4CA6-94FB-A8C7CB7018F5}"/>
    <cellStyle name="Normal 5 4 2 7 2 2" xfId="10287" xr:uid="{EA1C167A-D066-4B99-BAB5-6DB989A62DD8}"/>
    <cellStyle name="Normal 5 4 2 7 3" xfId="8142" xr:uid="{326AE53C-4082-47E1-8CD8-C80DEE8DF411}"/>
    <cellStyle name="Normal 5 4 2 8" xfId="4276" xr:uid="{21E6AF7C-CDDB-450A-9023-789B9EE559EF}"/>
    <cellStyle name="Normal 5 4 2 8 2" xfId="8555" xr:uid="{FFB5EDD4-7A1A-4E85-B8C1-0B71E2A4F30D}"/>
    <cellStyle name="Normal 5 4 2 9" xfId="6490" xr:uid="{4E71D91F-F8F4-4A2F-9D2A-C0048073D819}"/>
    <cellStyle name="Normal 5 4 3" xfId="464" xr:uid="{00000000-0005-0000-0000-00003E030000}"/>
    <cellStyle name="Normal 5 4 3 10" xfId="1360" xr:uid="{0C4A5027-0B1E-43CE-8799-52B13128C69C}"/>
    <cellStyle name="Normal 5 4 3 11" xfId="10726" xr:uid="{EEBB28EE-69AE-4F00-B9D8-D3D64EA7EC91}"/>
    <cellStyle name="Normal 5 4 3 2" xfId="465" xr:uid="{00000000-0005-0000-0000-00003F030000}"/>
    <cellStyle name="Normal 5 4 3 2 10" xfId="10727" xr:uid="{44065F98-50D0-4701-9DE8-A7A8F3A93C0E}"/>
    <cellStyle name="Normal 5 4 3 2 2" xfId="944" xr:uid="{00000000-0005-0000-0000-000040030000}"/>
    <cellStyle name="Normal 5 4 3 2 2 2" xfId="4835" xr:uid="{76766949-99E9-4512-829B-79793CE4D4FD}"/>
    <cellStyle name="Normal 5 4 3 2 2 2 2" xfId="9053" xr:uid="{0F77B2EA-5B7E-42CF-8211-F4ECCB420CAD}"/>
    <cellStyle name="Normal 5 4 3 2 2 3" xfId="6908" xr:uid="{375CC560-6AC8-4C65-9563-85B613D91290}"/>
    <cellStyle name="Normal 5 4 3 2 2 4" xfId="2606" xr:uid="{9AC8D5A8-8F09-4DF4-AC22-E799C1E3BC95}"/>
    <cellStyle name="Normal 5 4 3 2 2 5" xfId="1777" xr:uid="{2E46911C-D052-4FE2-80F7-126CFC770625}"/>
    <cellStyle name="Normal 5 4 3 2 2 6" xfId="11143" xr:uid="{003C2350-B12B-4F96-96FA-5333CD665AB5}"/>
    <cellStyle name="Normal 5 4 3 2 3" xfId="3019" xr:uid="{DDBA50E5-4FF7-4E15-A139-0473762BD1FE}"/>
    <cellStyle name="Normal 5 4 3 2 3 2" xfId="5248" xr:uid="{CF5EA41C-9080-42B0-A508-C0EBEB443FE8}"/>
    <cellStyle name="Normal 5 4 3 2 3 2 2" xfId="9466" xr:uid="{A1060C23-16BA-449C-B967-AD66065300BB}"/>
    <cellStyle name="Normal 5 4 3 2 3 3" xfId="7321" xr:uid="{198FABBB-9925-42E9-9DC0-63999FD28E90}"/>
    <cellStyle name="Normal 5 4 3 2 4" xfId="3432" xr:uid="{8AAF54A5-E57A-4892-8205-0B8B99E8D83B}"/>
    <cellStyle name="Normal 5 4 3 2 4 2" xfId="5661" xr:uid="{B583469A-0FBF-4429-B3A1-8722116B437E}"/>
    <cellStyle name="Normal 5 4 3 2 4 2 2" xfId="9879" xr:uid="{AF5D30B6-7F2D-4FD4-AB06-937EE2E7F26F}"/>
    <cellStyle name="Normal 5 4 3 2 4 3" xfId="7734" xr:uid="{7C7B5ACE-AEC4-4378-9659-D401112B4835}"/>
    <cellStyle name="Normal 5 4 3 2 5" xfId="3845" xr:uid="{F98458F9-6E71-4EDF-8298-2F0D7F4CD53C}"/>
    <cellStyle name="Normal 5 4 3 2 5 2" xfId="6074" xr:uid="{BEAABE3C-720A-4750-B75E-64D1C240F5D1}"/>
    <cellStyle name="Normal 5 4 3 2 5 2 2" xfId="10292" xr:uid="{59862EB0-5537-46D4-A026-3942A8C8D992}"/>
    <cellStyle name="Normal 5 4 3 2 5 3" xfId="8147" xr:uid="{A3D9D900-D1E9-44A8-991F-6D3E3F311285}"/>
    <cellStyle name="Normal 5 4 3 2 6" xfId="4281" xr:uid="{DF0F12BB-9AC5-477F-A5DA-1D8FA877F69B}"/>
    <cellStyle name="Normal 5 4 3 2 6 2" xfId="8560" xr:uid="{FF8601CD-34B9-4572-97E0-5EC11A5F235E}"/>
    <cellStyle name="Normal 5 4 3 2 7" xfId="6495" xr:uid="{C5BDA3C5-498F-4D45-A010-1C6B5BB26F48}"/>
    <cellStyle name="Normal 5 4 3 2 8" xfId="2191" xr:uid="{35406392-33D4-4D61-9CFC-C242EC1B2A2E}"/>
    <cellStyle name="Normal 5 4 3 2 9" xfId="1361" xr:uid="{BC87EA99-344B-4ED6-805B-9B3C133CC407}"/>
    <cellStyle name="Normal 5 4 3 3" xfId="943" xr:uid="{00000000-0005-0000-0000-000041030000}"/>
    <cellStyle name="Normal 5 4 3 3 2" xfId="4834" xr:uid="{05A7E9E7-2CEE-4D3E-B223-3299670C4472}"/>
    <cellStyle name="Normal 5 4 3 3 2 2" xfId="9052" xr:uid="{32EAFE62-0C15-450F-966D-FE3FB022BFBF}"/>
    <cellStyle name="Normal 5 4 3 3 3" xfId="6907" xr:uid="{D3C83E7F-AD07-4C56-B045-39A5D75632FA}"/>
    <cellStyle name="Normal 5 4 3 3 4" xfId="2605" xr:uid="{E265478C-AAA1-4894-8340-789D027CF392}"/>
    <cellStyle name="Normal 5 4 3 3 5" xfId="1776" xr:uid="{1B13F289-7493-4218-8047-BBB7F0EC7403}"/>
    <cellStyle name="Normal 5 4 3 3 6" xfId="11142" xr:uid="{4BC376FC-D2FC-4C41-9407-A0D26B2B95CC}"/>
    <cellStyle name="Normal 5 4 3 4" xfId="3018" xr:uid="{BB2D1B5A-3BD3-4590-A48B-A4C9806D75AC}"/>
    <cellStyle name="Normal 5 4 3 4 2" xfId="5247" xr:uid="{0C3CD6DF-85E7-4F39-820E-FDD76E2F063C}"/>
    <cellStyle name="Normal 5 4 3 4 2 2" xfId="9465" xr:uid="{C65A553B-1079-4EB3-A35B-37F231798DA8}"/>
    <cellStyle name="Normal 5 4 3 4 3" xfId="7320" xr:uid="{6E7FDD73-F1FA-452C-B52C-2A10B4EE872A}"/>
    <cellStyle name="Normal 5 4 3 5" xfId="3431" xr:uid="{82527193-7B69-4728-8B37-7D8421EF5B3E}"/>
    <cellStyle name="Normal 5 4 3 5 2" xfId="5660" xr:uid="{387FF13B-411D-42E1-8B06-D8F046D0EC5F}"/>
    <cellStyle name="Normal 5 4 3 5 2 2" xfId="9878" xr:uid="{3A809100-7B33-49F2-BD98-7497AA1D72D5}"/>
    <cellStyle name="Normal 5 4 3 5 3" xfId="7733" xr:uid="{88967146-B394-4923-AE44-F24D073FB62D}"/>
    <cellStyle name="Normal 5 4 3 6" xfId="3844" xr:uid="{9B1340A8-D745-41A6-A20A-E0691ACB636C}"/>
    <cellStyle name="Normal 5 4 3 6 2" xfId="6073" xr:uid="{11D34821-D3DB-4203-A3FE-DC43300399EE}"/>
    <cellStyle name="Normal 5 4 3 6 2 2" xfId="10291" xr:uid="{470AC2D4-3D5E-454F-B690-62864A15C915}"/>
    <cellStyle name="Normal 5 4 3 6 3" xfId="8146" xr:uid="{1F078C06-7CDE-4AB5-8013-E2FF30E20A79}"/>
    <cellStyle name="Normal 5 4 3 7" xfId="4280" xr:uid="{C3E1E552-D68E-4138-AF75-D80C9F927848}"/>
    <cellStyle name="Normal 5 4 3 7 2" xfId="8559" xr:uid="{D23A07E3-2170-4CC1-AFE5-42AA8929AE52}"/>
    <cellStyle name="Normal 5 4 3 8" xfId="6494" xr:uid="{B80EF450-1785-4E87-89E5-7BEBE5757989}"/>
    <cellStyle name="Normal 5 4 3 9" xfId="2190" xr:uid="{777397EF-C34E-4E21-9849-CFA80634B54B}"/>
    <cellStyle name="Normal 5 4 4" xfId="466" xr:uid="{00000000-0005-0000-0000-000042030000}"/>
    <cellStyle name="Normal 5 4 4 10" xfId="10728" xr:uid="{91C4BA1A-F23B-4764-B3E3-1E1DE96D51D4}"/>
    <cellStyle name="Normal 5 4 4 2" xfId="945" xr:uid="{00000000-0005-0000-0000-000043030000}"/>
    <cellStyle name="Normal 5 4 4 2 2" xfId="4836" xr:uid="{C82AF0EB-6291-4C1C-A46A-4BE4BCD225E8}"/>
    <cellStyle name="Normal 5 4 4 2 2 2" xfId="9054" xr:uid="{C8419057-1581-4882-8539-92A4620547A0}"/>
    <cellStyle name="Normal 5 4 4 2 3" xfId="6909" xr:uid="{A40487E1-77DE-442D-AE01-11285ADBB489}"/>
    <cellStyle name="Normal 5 4 4 2 4" xfId="2607" xr:uid="{6AB9962E-BD3A-44B8-A9F9-C10DC7317B0E}"/>
    <cellStyle name="Normal 5 4 4 2 5" xfId="1778" xr:uid="{F9C7D0CD-9B93-43AB-9233-D859976C9F68}"/>
    <cellStyle name="Normal 5 4 4 2 6" xfId="11144" xr:uid="{1156CD6B-2708-440F-91CE-25D9BCE1CA34}"/>
    <cellStyle name="Normal 5 4 4 3" xfId="3020" xr:uid="{2DB76035-12D6-4505-B12D-BD98C394B347}"/>
    <cellStyle name="Normal 5 4 4 3 2" xfId="5249" xr:uid="{69C27B62-726F-484A-8A58-B51FCC8A408A}"/>
    <cellStyle name="Normal 5 4 4 3 2 2" xfId="9467" xr:uid="{D882EB03-B757-4011-8EA6-E6BC9C379656}"/>
    <cellStyle name="Normal 5 4 4 3 3" xfId="7322" xr:uid="{B8EE6EEF-958B-4E52-A225-7BF94142B3FA}"/>
    <cellStyle name="Normal 5 4 4 4" xfId="3433" xr:uid="{A9AD5D61-9C26-4198-BAC3-8E8049EC932C}"/>
    <cellStyle name="Normal 5 4 4 4 2" xfId="5662" xr:uid="{8E6BF2B1-F9DC-4296-AF8A-85E30E4B50D1}"/>
    <cellStyle name="Normal 5 4 4 4 2 2" xfId="9880" xr:uid="{88F611B6-E01C-4694-B12A-55E01CE42661}"/>
    <cellStyle name="Normal 5 4 4 4 3" xfId="7735" xr:uid="{F30DABE3-91B1-470B-9CFA-4D4ABDE0463F}"/>
    <cellStyle name="Normal 5 4 4 5" xfId="3846" xr:uid="{9E99AE94-8E90-4130-AFF8-542193E98E78}"/>
    <cellStyle name="Normal 5 4 4 5 2" xfId="6075" xr:uid="{6C6723BE-2147-4524-9FD0-C601149E5B58}"/>
    <cellStyle name="Normal 5 4 4 5 2 2" xfId="10293" xr:uid="{CEC40470-AF47-4038-B7FE-0323A460A4E3}"/>
    <cellStyle name="Normal 5 4 4 5 3" xfId="8148" xr:uid="{ADC9FD34-461F-4784-B6E1-03496927385D}"/>
    <cellStyle name="Normal 5 4 4 6" xfId="4282" xr:uid="{EE76B907-6B1A-469F-8A67-75E63ADAB7B1}"/>
    <cellStyle name="Normal 5 4 4 6 2" xfId="8561" xr:uid="{5847028B-7E66-4AFA-87E0-31FC5C4C4EFE}"/>
    <cellStyle name="Normal 5 4 4 7" xfId="6496" xr:uid="{3338E6B1-39EB-44CA-88EB-7C3338DB411F}"/>
    <cellStyle name="Normal 5 4 4 8" xfId="2192" xr:uid="{4DB667B2-5940-4D61-B6A4-CAD6FC00E9DE}"/>
    <cellStyle name="Normal 5 4 4 9" xfId="1362" xr:uid="{3C76B06A-ACF6-4706-8201-57D3B4A0B065}"/>
    <cellStyle name="Normal 5 4 5" xfId="938" xr:uid="{00000000-0005-0000-0000-000044030000}"/>
    <cellStyle name="Normal 5 4 5 2" xfId="4829" xr:uid="{2CDAD52C-4CC7-4023-8A12-57D566BBCAF9}"/>
    <cellStyle name="Normal 5 4 5 2 2" xfId="9047" xr:uid="{2B3931C9-EB9E-4970-B17A-FE363AB57CCD}"/>
    <cellStyle name="Normal 5 4 5 3" xfId="6902" xr:uid="{B94FDAE7-5742-4042-BB88-4F4BEDA1F5BF}"/>
    <cellStyle name="Normal 5 4 5 4" xfId="2600" xr:uid="{0FC6AFDC-3A3F-4E6F-B7D9-8CD511D480E4}"/>
    <cellStyle name="Normal 5 4 5 5" xfId="1771" xr:uid="{3D4A2DCA-69B5-4401-9D38-15547174921D}"/>
    <cellStyle name="Normal 5 4 5 6" xfId="11137" xr:uid="{0D180AE6-BB14-48A3-866B-57C7CECA16E0}"/>
    <cellStyle name="Normal 5 4 6" xfId="3013" xr:uid="{4B230FBC-22E1-40E4-96E5-AD087E9E8C36}"/>
    <cellStyle name="Normal 5 4 6 2" xfId="5242" xr:uid="{C9965E62-5307-4230-AAF4-AC418351336E}"/>
    <cellStyle name="Normal 5 4 6 2 2" xfId="9460" xr:uid="{706E2F50-CCAD-4118-8B0B-FE16D503EA80}"/>
    <cellStyle name="Normal 5 4 6 3" xfId="7315" xr:uid="{CD3A423F-0075-4438-9B76-565BF0E0C29F}"/>
    <cellStyle name="Normal 5 4 7" xfId="3426" xr:uid="{F093E2DF-F8A2-4C81-8C2A-178DDD43FE57}"/>
    <cellStyle name="Normal 5 4 7 2" xfId="5655" xr:uid="{F51B3E7E-2BA9-4C50-8049-A832422074AD}"/>
    <cellStyle name="Normal 5 4 7 2 2" xfId="9873" xr:uid="{8E53C674-5C73-4751-B694-0CCE189C162C}"/>
    <cellStyle name="Normal 5 4 7 3" xfId="7728" xr:uid="{1CDC8996-527B-4F7F-9F31-D283187C9CB6}"/>
    <cellStyle name="Normal 5 4 8" xfId="3839" xr:uid="{E2AAEFD6-1437-400D-B573-BD0A442E012C}"/>
    <cellStyle name="Normal 5 4 8 2" xfId="6068" xr:uid="{7B79B597-E96F-44EC-834A-2500645B0A85}"/>
    <cellStyle name="Normal 5 4 8 2 2" xfId="10286" xr:uid="{1F30929C-E403-4505-B445-E64EB335225C}"/>
    <cellStyle name="Normal 5 4 8 3" xfId="8141" xr:uid="{6D8FAFDE-C10E-43A5-AD4A-DEECCE6027B2}"/>
    <cellStyle name="Normal 5 4 9" xfId="4275" xr:uid="{DE355C73-2C03-4E52-AD1B-D44FB4D31CB1}"/>
    <cellStyle name="Normal 5 4 9 2" xfId="8554" xr:uid="{D435EEB4-3F62-4BA7-9D5A-8727CE2ADA00}"/>
    <cellStyle name="Normal 5 5" xfId="467" xr:uid="{00000000-0005-0000-0000-000045030000}"/>
    <cellStyle name="Normal 5 5 10" xfId="2193" xr:uid="{1371AC8F-051A-4CC7-80A4-8B63BAF9F14D}"/>
    <cellStyle name="Normal 5 5 11" xfId="1363" xr:uid="{0019DAFE-B655-4F17-BA3B-C2E5D186B31D}"/>
    <cellStyle name="Normal 5 5 12" xfId="10729" xr:uid="{FF42EFD3-03EE-419D-B6F4-73E9FF17CB9B}"/>
    <cellStyle name="Normal 5 5 2" xfId="468" xr:uid="{00000000-0005-0000-0000-000046030000}"/>
    <cellStyle name="Normal 5 5 2 10" xfId="1364" xr:uid="{504D18FD-8E68-4DF1-8CA9-00F3BC595DFE}"/>
    <cellStyle name="Normal 5 5 2 11" xfId="10730" xr:uid="{43B6D8C3-FF29-4B6E-A9C8-596723A35363}"/>
    <cellStyle name="Normal 5 5 2 2" xfId="469" xr:uid="{00000000-0005-0000-0000-000047030000}"/>
    <cellStyle name="Normal 5 5 2 2 10" xfId="10731" xr:uid="{C33BE8F6-2D68-4713-8038-65C075FEB86E}"/>
    <cellStyle name="Normal 5 5 2 2 2" xfId="948" xr:uid="{00000000-0005-0000-0000-000048030000}"/>
    <cellStyle name="Normal 5 5 2 2 2 2" xfId="4839" xr:uid="{EBEFAF7D-DBFD-4EE5-8956-D35DAD701817}"/>
    <cellStyle name="Normal 5 5 2 2 2 2 2" xfId="9057" xr:uid="{B719A5FC-BF5F-4927-87ED-6B18C4B6A40F}"/>
    <cellStyle name="Normal 5 5 2 2 2 3" xfId="6912" xr:uid="{9473DB0E-5FBA-4790-AB9B-67E313A5DB6D}"/>
    <cellStyle name="Normal 5 5 2 2 2 4" xfId="2610" xr:uid="{006E181E-F65E-445C-86FA-3C6E72B1A8CD}"/>
    <cellStyle name="Normal 5 5 2 2 2 5" xfId="1781" xr:uid="{A9CDF908-DC7F-4851-AA91-6EFECEB2934C}"/>
    <cellStyle name="Normal 5 5 2 2 2 6" xfId="11147" xr:uid="{8D987506-EF19-4779-AF39-D78B656A6A57}"/>
    <cellStyle name="Normal 5 5 2 2 3" xfId="3023" xr:uid="{13977C17-F7B7-4259-AAFF-D1D3D177361E}"/>
    <cellStyle name="Normal 5 5 2 2 3 2" xfId="5252" xr:uid="{24856D9A-2AFB-4B02-A896-092CD898959E}"/>
    <cellStyle name="Normal 5 5 2 2 3 2 2" xfId="9470" xr:uid="{1DE258E6-424A-4E72-BFCC-55937F655F3F}"/>
    <cellStyle name="Normal 5 5 2 2 3 3" xfId="7325" xr:uid="{8FA25EEA-56AB-47E7-B4D7-5F177CBF54E7}"/>
    <cellStyle name="Normal 5 5 2 2 4" xfId="3436" xr:uid="{D3C16D40-957B-4852-A24A-C6DF55E97659}"/>
    <cellStyle name="Normal 5 5 2 2 4 2" xfId="5665" xr:uid="{03597BB2-CFBA-4652-8A65-3AEF88BADC0D}"/>
    <cellStyle name="Normal 5 5 2 2 4 2 2" xfId="9883" xr:uid="{7A815762-2BE9-45BB-865A-9E783A676041}"/>
    <cellStyle name="Normal 5 5 2 2 4 3" xfId="7738" xr:uid="{80D2E658-9FCC-4E30-9DB1-1C65991EFC09}"/>
    <cellStyle name="Normal 5 5 2 2 5" xfId="3849" xr:uid="{9DCB80C6-E854-490D-BC12-1FE8429F000D}"/>
    <cellStyle name="Normal 5 5 2 2 5 2" xfId="6078" xr:uid="{100E632D-8A92-4461-BCE0-1F18C2D9D5A8}"/>
    <cellStyle name="Normal 5 5 2 2 5 2 2" xfId="10296" xr:uid="{4B7D427E-5C8A-4FC5-9948-1741DDE223AF}"/>
    <cellStyle name="Normal 5 5 2 2 5 3" xfId="8151" xr:uid="{F71F79C7-D65E-4660-B40A-AEE070F53AD7}"/>
    <cellStyle name="Normal 5 5 2 2 6" xfId="4285" xr:uid="{54DC5669-B6C9-4F42-8947-5FCF9819A754}"/>
    <cellStyle name="Normal 5 5 2 2 6 2" xfId="8564" xr:uid="{B126EE50-28D8-4DDB-9EE0-D6B46BD4EF62}"/>
    <cellStyle name="Normal 5 5 2 2 7" xfId="6499" xr:uid="{9955428A-AD4F-47A0-BC4F-1AA1190A6355}"/>
    <cellStyle name="Normal 5 5 2 2 8" xfId="2195" xr:uid="{0CDD70D6-4651-4AE8-90C8-095B0D0E68B8}"/>
    <cellStyle name="Normal 5 5 2 2 9" xfId="1365" xr:uid="{CAC86EF9-8716-4E99-B9B2-0D20EAC8E2AC}"/>
    <cellStyle name="Normal 5 5 2 3" xfId="947" xr:uid="{00000000-0005-0000-0000-000049030000}"/>
    <cellStyle name="Normal 5 5 2 3 2" xfId="4838" xr:uid="{5F46AC18-77B3-4297-A467-6141C6B3C02F}"/>
    <cellStyle name="Normal 5 5 2 3 2 2" xfId="9056" xr:uid="{096621B0-6193-4A22-B9D0-164FE188B76D}"/>
    <cellStyle name="Normal 5 5 2 3 3" xfId="6911" xr:uid="{E49CF7DA-CAE3-46F5-8B4C-0768D11D8CF8}"/>
    <cellStyle name="Normal 5 5 2 3 4" xfId="2609" xr:uid="{AB9D1EEE-66DD-41DE-8094-5201C951054E}"/>
    <cellStyle name="Normal 5 5 2 3 5" xfId="1780" xr:uid="{AB0FF631-89FC-4381-B5A6-E3A731392F2B}"/>
    <cellStyle name="Normal 5 5 2 3 6" xfId="11146" xr:uid="{E5D4068C-7315-4445-BBC3-D5FB5168720D}"/>
    <cellStyle name="Normal 5 5 2 4" xfId="3022" xr:uid="{A16BC408-0644-464A-8D12-7F4F8D1EC816}"/>
    <cellStyle name="Normal 5 5 2 4 2" xfId="5251" xr:uid="{712AB204-FDA1-4D1E-9242-D333B470CE5E}"/>
    <cellStyle name="Normal 5 5 2 4 2 2" xfId="9469" xr:uid="{7EBB2F21-5F47-4F64-A784-9857DA58AE9E}"/>
    <cellStyle name="Normal 5 5 2 4 3" xfId="7324" xr:uid="{26708A46-54AB-4660-ADC7-BD910EEC79FC}"/>
    <cellStyle name="Normal 5 5 2 5" xfId="3435" xr:uid="{AB88240C-4557-4C52-A220-E9EC2DD26108}"/>
    <cellStyle name="Normal 5 5 2 5 2" xfId="5664" xr:uid="{672BCD71-35FF-450B-BBFC-1E20D83F5BA3}"/>
    <cellStyle name="Normal 5 5 2 5 2 2" xfId="9882" xr:uid="{7B5D2D20-2C7A-4F92-AB1D-05BEBF165B32}"/>
    <cellStyle name="Normal 5 5 2 5 3" xfId="7737" xr:uid="{2F50835A-2BD0-4A89-AA83-7B39FBAAC860}"/>
    <cellStyle name="Normal 5 5 2 6" xfId="3848" xr:uid="{091CD0B0-22D4-4BC9-98B7-F154EFC3C69B}"/>
    <cellStyle name="Normal 5 5 2 6 2" xfId="6077" xr:uid="{F0598D4A-C91C-4193-ACAC-5910A22A28F0}"/>
    <cellStyle name="Normal 5 5 2 6 2 2" xfId="10295" xr:uid="{6250FAF2-2F24-4E27-B8B6-A8EA2830983B}"/>
    <cellStyle name="Normal 5 5 2 6 3" xfId="8150" xr:uid="{0D199AA8-25A3-4D43-B684-176FC42E3A26}"/>
    <cellStyle name="Normal 5 5 2 7" xfId="4284" xr:uid="{87ACDE56-878B-4A75-B56C-4F7191A263B2}"/>
    <cellStyle name="Normal 5 5 2 7 2" xfId="8563" xr:uid="{06CD7BDC-75CD-4481-BB44-2FBC549ACC12}"/>
    <cellStyle name="Normal 5 5 2 8" xfId="6498" xr:uid="{5B6237D7-7C8B-4E8A-8367-044F2EE8F3CD}"/>
    <cellStyle name="Normal 5 5 2 9" xfId="2194" xr:uid="{7412107F-BD8D-400B-A12A-0B84F2F70786}"/>
    <cellStyle name="Normal 5 5 3" xfId="470" xr:uid="{00000000-0005-0000-0000-00004A030000}"/>
    <cellStyle name="Normal 5 5 3 10" xfId="10732" xr:uid="{1F180E5C-01A2-4A73-8696-B9FB767BFEBF}"/>
    <cellStyle name="Normal 5 5 3 2" xfId="949" xr:uid="{00000000-0005-0000-0000-00004B030000}"/>
    <cellStyle name="Normal 5 5 3 2 2" xfId="4840" xr:uid="{AC250914-A89A-4FBD-AE2F-50BFEAF624FD}"/>
    <cellStyle name="Normal 5 5 3 2 2 2" xfId="9058" xr:uid="{6F25BA36-03A8-4ACC-9D81-1ED6946D666B}"/>
    <cellStyle name="Normal 5 5 3 2 3" xfId="6913" xr:uid="{91097938-D1AD-4633-AB0A-89C75DF279EB}"/>
    <cellStyle name="Normal 5 5 3 2 4" xfId="2611" xr:uid="{C0627E34-7252-48B9-9FE2-CC2AB34FFA52}"/>
    <cellStyle name="Normal 5 5 3 2 5" xfId="1782" xr:uid="{63E86645-6323-4AE0-88A2-EC8386CDFDB1}"/>
    <cellStyle name="Normal 5 5 3 2 6" xfId="11148" xr:uid="{37F630F9-CD4B-4B98-B871-BCE601E47961}"/>
    <cellStyle name="Normal 5 5 3 3" xfId="3024" xr:uid="{9AFCF69F-CCAB-411E-8C62-41A16967BA21}"/>
    <cellStyle name="Normal 5 5 3 3 2" xfId="5253" xr:uid="{EFE3E637-F032-46EE-895A-6947FBC6860D}"/>
    <cellStyle name="Normal 5 5 3 3 2 2" xfId="9471" xr:uid="{C6856C32-7460-4AC4-9D25-1797CCA6B243}"/>
    <cellStyle name="Normal 5 5 3 3 3" xfId="7326" xr:uid="{FF50A0C7-5640-4EBF-810A-469AC6AEF6D1}"/>
    <cellStyle name="Normal 5 5 3 4" xfId="3437" xr:uid="{4FD54836-60EC-462D-B7E3-DC10D8D18F34}"/>
    <cellStyle name="Normal 5 5 3 4 2" xfId="5666" xr:uid="{F1246250-BC12-4A6C-9A41-1A64355814CB}"/>
    <cellStyle name="Normal 5 5 3 4 2 2" xfId="9884" xr:uid="{C229F114-154A-4D67-9650-0EEC183E385E}"/>
    <cellStyle name="Normal 5 5 3 4 3" xfId="7739" xr:uid="{AAC3AB1B-6742-4F22-AA55-ED7872F70925}"/>
    <cellStyle name="Normal 5 5 3 5" xfId="3850" xr:uid="{988E73F7-6CCD-4060-97CC-C19870348FFC}"/>
    <cellStyle name="Normal 5 5 3 5 2" xfId="6079" xr:uid="{2DDABA08-0CA9-4756-AE8A-1DD213C5548F}"/>
    <cellStyle name="Normal 5 5 3 5 2 2" xfId="10297" xr:uid="{CBF0CF9C-FCF4-4D37-9FAF-550155E30035}"/>
    <cellStyle name="Normal 5 5 3 5 3" xfId="8152" xr:uid="{847653FD-8602-45BC-8F3F-3FE2235B2C5E}"/>
    <cellStyle name="Normal 5 5 3 6" xfId="4286" xr:uid="{02D72503-E981-40D6-A08C-1744A71DF762}"/>
    <cellStyle name="Normal 5 5 3 6 2" xfId="8565" xr:uid="{79D9833B-88D9-4DF2-8D2A-E395F99D166B}"/>
    <cellStyle name="Normal 5 5 3 7" xfId="6500" xr:uid="{39C8F926-30A3-46D0-A0FF-C2A2D1B5B7B6}"/>
    <cellStyle name="Normal 5 5 3 8" xfId="2196" xr:uid="{6601B454-9C84-4211-92C9-D3BF40678496}"/>
    <cellStyle name="Normal 5 5 3 9" xfId="1366" xr:uid="{CD1902BB-EA5A-41F6-8859-4394E5BEBC24}"/>
    <cellStyle name="Normal 5 5 4" xfId="946" xr:uid="{00000000-0005-0000-0000-00004C030000}"/>
    <cellStyle name="Normal 5 5 4 2" xfId="4837" xr:uid="{1CBED038-9404-4408-98EC-4057FCF02EE8}"/>
    <cellStyle name="Normal 5 5 4 2 2" xfId="9055" xr:uid="{05E6DAD2-0748-45DD-86DD-6BBBC8E38161}"/>
    <cellStyle name="Normal 5 5 4 3" xfId="6910" xr:uid="{0AB07EBB-65F2-4944-9A8D-BF29CDCD7E10}"/>
    <cellStyle name="Normal 5 5 4 4" xfId="2608" xr:uid="{3F16D18D-6689-43B2-A214-5E0AACFCF226}"/>
    <cellStyle name="Normal 5 5 4 5" xfId="1779" xr:uid="{A058BA42-2B8C-4BB8-92CF-16E867DE85B0}"/>
    <cellStyle name="Normal 5 5 4 6" xfId="11145" xr:uid="{7F6100EF-73D4-4107-851A-78F7D356D5A9}"/>
    <cellStyle name="Normal 5 5 5" xfId="3021" xr:uid="{2BE58059-9703-4DE2-9B19-CF4226038BBA}"/>
    <cellStyle name="Normal 5 5 5 2" xfId="5250" xr:uid="{AB2B379E-EC16-4D39-A0E9-3D66DEFC284F}"/>
    <cellStyle name="Normal 5 5 5 2 2" xfId="9468" xr:uid="{9CA7DCD9-E073-4877-8443-E69C80E24F36}"/>
    <cellStyle name="Normal 5 5 5 3" xfId="7323" xr:uid="{E0FB74AF-9B00-484F-90BB-C4BDB7911C38}"/>
    <cellStyle name="Normal 5 5 6" xfId="3434" xr:uid="{FB8B3070-A1F9-4835-814E-93CF65F1DEF6}"/>
    <cellStyle name="Normal 5 5 6 2" xfId="5663" xr:uid="{A134834A-B931-4E5D-95B7-540827A1B575}"/>
    <cellStyle name="Normal 5 5 6 2 2" xfId="9881" xr:uid="{B541C140-906C-4F76-AFFF-664EE0787D89}"/>
    <cellStyle name="Normal 5 5 6 3" xfId="7736" xr:uid="{5E4EA15B-3274-44B1-ACD3-224570302DB5}"/>
    <cellStyle name="Normal 5 5 7" xfId="3847" xr:uid="{06CFC964-1816-411D-8351-5E2D9B800441}"/>
    <cellStyle name="Normal 5 5 7 2" xfId="6076" xr:uid="{020F759B-8319-4C13-A8E6-0899FC96B7A8}"/>
    <cellStyle name="Normal 5 5 7 2 2" xfId="10294" xr:uid="{3B99127A-C254-4FA0-ABE1-DB8EBE128253}"/>
    <cellStyle name="Normal 5 5 7 3" xfId="8149" xr:uid="{CF612549-A9C7-4ABF-AEB8-D3540DDAEED9}"/>
    <cellStyle name="Normal 5 5 8" xfId="4283" xr:uid="{93B5AE75-D356-49E7-A11D-32504FD0BBFC}"/>
    <cellStyle name="Normal 5 5 8 2" xfId="8562" xr:uid="{4AAD8AAE-C540-4151-8890-739FD9CD6AC3}"/>
    <cellStyle name="Normal 5 5 9" xfId="6497" xr:uid="{4DCFE7E2-0434-4E71-8A2F-C412BCDB177E}"/>
    <cellStyle name="Normal 5 6" xfId="471" xr:uid="{00000000-0005-0000-0000-00004D030000}"/>
    <cellStyle name="Normal 5 6 10" xfId="1367" xr:uid="{7554A532-AA71-42FC-91D0-76E47932A564}"/>
    <cellStyle name="Normal 5 6 11" xfId="10733" xr:uid="{4E41BA86-CC2A-4EFE-9BBE-C938F0F92DBE}"/>
    <cellStyle name="Normal 5 6 2" xfId="472" xr:uid="{00000000-0005-0000-0000-00004E030000}"/>
    <cellStyle name="Normal 5 6 2 10" xfId="10734" xr:uid="{59A105A9-F9B7-4B7D-AAE7-25773006FD9F}"/>
    <cellStyle name="Normal 5 6 2 2" xfId="951" xr:uid="{00000000-0005-0000-0000-00004F030000}"/>
    <cellStyle name="Normal 5 6 2 2 2" xfId="4842" xr:uid="{84198013-77A4-4494-9572-B6A7A5FCFD05}"/>
    <cellStyle name="Normal 5 6 2 2 2 2" xfId="9060" xr:uid="{08BA1A34-D2B1-4042-AE61-4D862280C944}"/>
    <cellStyle name="Normal 5 6 2 2 3" xfId="6915" xr:uid="{C29D2324-29D5-4C20-9E2F-FB583A4373C1}"/>
    <cellStyle name="Normal 5 6 2 2 4" xfId="2613" xr:uid="{C9B2226D-94E5-4655-BCED-39F6E13FB89D}"/>
    <cellStyle name="Normal 5 6 2 2 5" xfId="1784" xr:uid="{F21FE207-B922-4297-8160-940C1038E31B}"/>
    <cellStyle name="Normal 5 6 2 2 6" xfId="11150" xr:uid="{6097F592-CBD4-4EA7-BE57-B21FA7C30F51}"/>
    <cellStyle name="Normal 5 6 2 3" xfId="3026" xr:uid="{8647613F-1EF6-409C-91CB-913BC5F31B2C}"/>
    <cellStyle name="Normal 5 6 2 3 2" xfId="5255" xr:uid="{AADD0DC6-3DC2-40E4-8502-C43BDF200964}"/>
    <cellStyle name="Normal 5 6 2 3 2 2" xfId="9473" xr:uid="{A0E573CB-D9BC-4127-8E15-714DF02F8572}"/>
    <cellStyle name="Normal 5 6 2 3 3" xfId="7328" xr:uid="{CDFE9092-6F02-46E3-A23E-ABF05D34B638}"/>
    <cellStyle name="Normal 5 6 2 4" xfId="3439" xr:uid="{E714F042-D395-4E7E-A7A0-B3ADC6DC518B}"/>
    <cellStyle name="Normal 5 6 2 4 2" xfId="5668" xr:uid="{BB11BD38-D68C-40E2-81CC-8FD463BEC45E}"/>
    <cellStyle name="Normal 5 6 2 4 2 2" xfId="9886" xr:uid="{08119E1D-CF31-4673-9EFC-089DEC3A6B07}"/>
    <cellStyle name="Normal 5 6 2 4 3" xfId="7741" xr:uid="{E232D76A-E62C-43C2-9236-6165893C6733}"/>
    <cellStyle name="Normal 5 6 2 5" xfId="3852" xr:uid="{5EE1E8B6-9E7A-4781-8F49-FD7BEB02A7E6}"/>
    <cellStyle name="Normal 5 6 2 5 2" xfId="6081" xr:uid="{4012B49A-6144-48B9-B04A-9E35D4F3D598}"/>
    <cellStyle name="Normal 5 6 2 5 2 2" xfId="10299" xr:uid="{BB169E51-9195-4FFE-9DA8-85CFFE18FD54}"/>
    <cellStyle name="Normal 5 6 2 5 3" xfId="8154" xr:uid="{AE77A984-B593-46EC-9713-744EAA7128E3}"/>
    <cellStyle name="Normal 5 6 2 6" xfId="4288" xr:uid="{F7597E68-A9D9-49DA-9922-E7828688DEEF}"/>
    <cellStyle name="Normal 5 6 2 6 2" xfId="8567" xr:uid="{14DD97C1-FA9F-49A2-907B-5FA847FB0131}"/>
    <cellStyle name="Normal 5 6 2 7" xfId="6502" xr:uid="{507DDDB2-7952-4112-81A3-F6418E942FE1}"/>
    <cellStyle name="Normal 5 6 2 8" xfId="2198" xr:uid="{736E498F-5D7D-48E0-A58F-BD71C86AE8A2}"/>
    <cellStyle name="Normal 5 6 2 9" xfId="1368" xr:uid="{0D0F3754-CBCB-4083-B371-AA064C7099C5}"/>
    <cellStyle name="Normal 5 6 3" xfId="950" xr:uid="{00000000-0005-0000-0000-000050030000}"/>
    <cellStyle name="Normal 5 6 3 2" xfId="4841" xr:uid="{37E79950-344D-4142-A1D0-494BD789674B}"/>
    <cellStyle name="Normal 5 6 3 2 2" xfId="9059" xr:uid="{2B3EC6AD-7237-40F0-B7D1-45563729F20D}"/>
    <cellStyle name="Normal 5 6 3 3" xfId="6914" xr:uid="{EA50B5C6-59F0-4432-A9F2-3FC6C09D4C13}"/>
    <cellStyle name="Normal 5 6 3 4" xfId="2612" xr:uid="{C8FFFE26-FF76-463E-8022-69AE10F6A7E9}"/>
    <cellStyle name="Normal 5 6 3 5" xfId="1783" xr:uid="{1B7493C7-0065-4408-8F08-B1FA6E485E1A}"/>
    <cellStyle name="Normal 5 6 3 6" xfId="11149" xr:uid="{D972F9B4-13ED-47EC-B5EB-D728B2B1CC35}"/>
    <cellStyle name="Normal 5 6 4" xfId="3025" xr:uid="{B9C93F5C-5455-41C4-AACD-D746A491F62D}"/>
    <cellStyle name="Normal 5 6 4 2" xfId="5254" xr:uid="{9739C1E2-9ADE-44F4-84F2-23CE5C9D2665}"/>
    <cellStyle name="Normal 5 6 4 2 2" xfId="9472" xr:uid="{34776BF7-2CEF-4F7C-A15F-DE0C8DED1760}"/>
    <cellStyle name="Normal 5 6 4 3" xfId="7327" xr:uid="{2925A476-EF5B-448B-AFF9-28D37137CE83}"/>
    <cellStyle name="Normal 5 6 5" xfId="3438" xr:uid="{1E179C00-2720-4D48-B94F-8BCE7CA68800}"/>
    <cellStyle name="Normal 5 6 5 2" xfId="5667" xr:uid="{F4AF5728-3430-45C8-A82A-84DA0BA98088}"/>
    <cellStyle name="Normal 5 6 5 2 2" xfId="9885" xr:uid="{AB5C0FA3-D775-45B7-97F7-F0A38A6F04DE}"/>
    <cellStyle name="Normal 5 6 5 3" xfId="7740" xr:uid="{30203C24-6B44-4BC9-B635-53C9B1A054C2}"/>
    <cellStyle name="Normal 5 6 6" xfId="3851" xr:uid="{4831E503-6146-45AB-B6CD-A91EB80DE875}"/>
    <cellStyle name="Normal 5 6 6 2" xfId="6080" xr:uid="{3C25CFFC-6C1B-4ED0-8B8F-D8F98EB64AE7}"/>
    <cellStyle name="Normal 5 6 6 2 2" xfId="10298" xr:uid="{A7A9670C-CE2B-4F8E-B06A-2E598A1A7A2C}"/>
    <cellStyle name="Normal 5 6 6 3" xfId="8153" xr:uid="{FAEEF7A0-32D7-48D9-8558-986022AF86DF}"/>
    <cellStyle name="Normal 5 6 7" xfId="4287" xr:uid="{E7AF7716-E064-4D43-ACC4-A52AC9241B36}"/>
    <cellStyle name="Normal 5 6 7 2" xfId="8566" xr:uid="{0A9C083A-AFC3-406E-B351-103D81EB1F79}"/>
    <cellStyle name="Normal 5 6 8" xfId="6501" xr:uid="{6B33185F-C6FC-40DB-8C23-367079DEFE82}"/>
    <cellStyle name="Normal 5 6 9" xfId="2197" xr:uid="{3A5E9B2B-2DC2-4F50-97D2-29167C6ED8A9}"/>
    <cellStyle name="Normal 5 7" xfId="473" xr:uid="{00000000-0005-0000-0000-000051030000}"/>
    <cellStyle name="Normal 5 7 10" xfId="10735" xr:uid="{0C892D65-B608-45F6-81C5-423EAC47128D}"/>
    <cellStyle name="Normal 5 7 2" xfId="952" xr:uid="{00000000-0005-0000-0000-000052030000}"/>
    <cellStyle name="Normal 5 7 2 2" xfId="4843" xr:uid="{2FAD0F0C-94CE-49D0-878E-779EB04BB732}"/>
    <cellStyle name="Normal 5 7 2 2 2" xfId="9061" xr:uid="{30A33ABB-6550-48D3-939A-67D1E80D3E57}"/>
    <cellStyle name="Normal 5 7 2 3" xfId="6916" xr:uid="{D305DEE1-DCAE-47ED-A812-31BD76214322}"/>
    <cellStyle name="Normal 5 7 2 4" xfId="2614" xr:uid="{D7350F8E-2304-41C9-8534-FFDE7AA353B4}"/>
    <cellStyle name="Normal 5 7 2 5" xfId="1785" xr:uid="{5E2D4846-4715-4AC4-A245-33B962701476}"/>
    <cellStyle name="Normal 5 7 2 6" xfId="11151" xr:uid="{BE988214-BF1E-46ED-9CE9-FD08E294F82A}"/>
    <cellStyle name="Normal 5 7 3" xfId="3027" xr:uid="{7CBEB148-FC69-4C8E-AFC0-C7B6069FED56}"/>
    <cellStyle name="Normal 5 7 3 2" xfId="5256" xr:uid="{9C1C2B8C-E4C0-49D1-B838-C1433C69F5FA}"/>
    <cellStyle name="Normal 5 7 3 2 2" xfId="9474" xr:uid="{BEFD16AF-A4E3-4191-B460-1C506A03D6D2}"/>
    <cellStyle name="Normal 5 7 3 3" xfId="7329" xr:uid="{1A73D238-873E-4487-9046-D40D0BC8406D}"/>
    <cellStyle name="Normal 5 7 4" xfId="3440" xr:uid="{BA2D407E-3205-44AC-8361-7C4D9BCDC91A}"/>
    <cellStyle name="Normal 5 7 4 2" xfId="5669" xr:uid="{2618059F-21AB-42B4-86FE-D15FEF02B58D}"/>
    <cellStyle name="Normal 5 7 4 2 2" xfId="9887" xr:uid="{D0880E0D-DABB-42E8-9BD8-73EEC387C0B6}"/>
    <cellStyle name="Normal 5 7 4 3" xfId="7742" xr:uid="{F344DA99-D407-4230-BD47-1FE065779FDF}"/>
    <cellStyle name="Normal 5 7 5" xfId="3853" xr:uid="{1E8E984C-D99A-4893-8BEE-229E1A00BD33}"/>
    <cellStyle name="Normal 5 7 5 2" xfId="6082" xr:uid="{23BC0134-F756-49ED-A016-B13B4A48F7C2}"/>
    <cellStyle name="Normal 5 7 5 2 2" xfId="10300" xr:uid="{4FAAF62F-9C4A-4285-84C0-0C940FBCDB4B}"/>
    <cellStyle name="Normal 5 7 5 3" xfId="8155" xr:uid="{FE917A77-F389-4687-AAE5-800BC90BFA69}"/>
    <cellStyle name="Normal 5 7 6" xfId="4289" xr:uid="{25CAFE94-136B-47B1-8BD6-88F7DD2B0E42}"/>
    <cellStyle name="Normal 5 7 6 2" xfId="8568" xr:uid="{FCA3EBAC-465B-4D30-95B0-162FE1E1FD49}"/>
    <cellStyle name="Normal 5 7 7" xfId="6503" xr:uid="{5E46DD57-D177-438A-8C2C-E1B564646525}"/>
    <cellStyle name="Normal 5 7 8" xfId="2199" xr:uid="{62A2F3BD-18FD-47F8-8704-7EF86FBE1B5C}"/>
    <cellStyle name="Normal 5 7 9" xfId="1369" xr:uid="{EAB3AD9D-22C0-42AC-B5DE-E1CAA50F4C49}"/>
    <cellStyle name="Normal 5 8" xfId="888" xr:uid="{00000000-0005-0000-0000-000053030000}"/>
    <cellStyle name="Normal 5 8 2" xfId="4780" xr:uid="{C7D6857A-A652-4D56-B07D-E014C3C0D4A6}"/>
    <cellStyle name="Normal 5 8 2 2" xfId="8998" xr:uid="{1798B873-C484-4FA6-914F-8058909BC526}"/>
    <cellStyle name="Normal 5 8 3" xfId="6853" xr:uid="{900EDD5A-E804-4408-AAE3-E56BCEC075BD}"/>
    <cellStyle name="Normal 5 8 4" xfId="2551" xr:uid="{5F8D987A-DAF3-44CC-BD01-DB3B79F0C419}"/>
    <cellStyle name="Normal 5 8 5" xfId="1722" xr:uid="{C2CF5D9D-D05B-4B0A-A78F-7121FE25DB4C}"/>
    <cellStyle name="Normal 5 8 6" xfId="11088" xr:uid="{B7860359-89F6-4956-A8D5-7717CBBDF0A7}"/>
    <cellStyle name="Normal 5 9" xfId="2964" xr:uid="{D5DAD3EF-4C93-4906-B3D2-8A0E119C2B59}"/>
    <cellStyle name="Normal 5 9 2" xfId="5193" xr:uid="{B93F3A8C-E707-4DD7-894E-633EECB4C0C1}"/>
    <cellStyle name="Normal 5 9 2 2" xfId="9411" xr:uid="{3C473809-B77B-4E34-AEBF-89EC7D617B0E}"/>
    <cellStyle name="Normal 5 9 3" xfId="7266" xr:uid="{85A8834F-9678-48F6-8BC2-21766BDF88D5}"/>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10" xfId="3854" xr:uid="{7689E8F0-E963-43B8-B775-99910B638D5E}"/>
    <cellStyle name="Normal 8 10 2" xfId="6083" xr:uid="{8996EF7D-7074-4D26-B9A4-B0D54905F55C}"/>
    <cellStyle name="Normal 8 10 2 2" xfId="10301" xr:uid="{6F0C0885-6376-4599-B01C-CC4B94B13041}"/>
    <cellStyle name="Normal 8 10 3" xfId="8156" xr:uid="{8D28629D-F39A-4D46-B375-2B11159C5A49}"/>
    <cellStyle name="Normal 8 11" xfId="4290" xr:uid="{FCCFF115-D9C5-4EE2-ACA8-8CDCB35798CE}"/>
    <cellStyle name="Normal 8 11 2" xfId="8569" xr:uid="{CBF72877-1AA0-4B1E-ACE8-C282E84EDA8B}"/>
    <cellStyle name="Normal 8 12" xfId="6504" xr:uid="{8D2B542D-CC94-4C78-9130-CCC72F1890B3}"/>
    <cellStyle name="Normal 8 13" xfId="2200" xr:uid="{BA8DBCC6-B666-4057-B937-69CA7849B75C}"/>
    <cellStyle name="Normal 8 14" xfId="1370" xr:uid="{E3E86A31-28FA-4483-9373-E180BE6DDD52}"/>
    <cellStyle name="Normal 8 15" xfId="10736" xr:uid="{BE6519F4-2430-40D6-B8D3-C4A5D88EB346}"/>
    <cellStyle name="Normal 8 2" xfId="482" xr:uid="{00000000-0005-0000-0000-00005C030000}"/>
    <cellStyle name="Normal 8 2 10" xfId="4291" xr:uid="{40380A50-ABAD-4B96-9516-BD2F6FD41161}"/>
    <cellStyle name="Normal 8 2 10 2" xfId="8570" xr:uid="{A19BA1D2-A006-47E3-8CB0-27DB0945F051}"/>
    <cellStyle name="Normal 8 2 11" xfId="6505" xr:uid="{E08865B9-75F6-468B-8CEA-2CBADD9F3654}"/>
    <cellStyle name="Normal 8 2 12" xfId="2201" xr:uid="{FB0BEDFD-1487-4BCA-B075-72E571F6851A}"/>
    <cellStyle name="Normal 8 2 13" xfId="1371" xr:uid="{B3D7F9EE-AB2E-4769-876B-3D3960FDE1F3}"/>
    <cellStyle name="Normal 8 2 14" xfId="10737" xr:uid="{986D0DAC-0034-4474-8B80-210D9759C917}"/>
    <cellStyle name="Normal 8 2 2" xfId="483" xr:uid="{00000000-0005-0000-0000-00005D030000}"/>
    <cellStyle name="Normal 8 2 2 10" xfId="6506" xr:uid="{A32AA6B8-5B56-4E20-90EE-786F3113BC33}"/>
    <cellStyle name="Normal 8 2 2 11" xfId="2202" xr:uid="{C2141D56-92C4-424E-8A62-077234AF9DEC}"/>
    <cellStyle name="Normal 8 2 2 12" xfId="1372" xr:uid="{9D042976-2B3D-4B06-83CC-AB85C700A17B}"/>
    <cellStyle name="Normal 8 2 2 13" xfId="10738" xr:uid="{041F75F6-E5A4-4214-A76D-984C876CF0CD}"/>
    <cellStyle name="Normal 8 2 2 2" xfId="484" xr:uid="{00000000-0005-0000-0000-00005E030000}"/>
    <cellStyle name="Normal 8 2 2 2 10" xfId="2203" xr:uid="{9D75BD14-8C89-4A9E-AA07-AB33257A1509}"/>
    <cellStyle name="Normal 8 2 2 2 11" xfId="1373" xr:uid="{4B387FAD-EC92-48E2-B8AE-22EE2D0A09D8}"/>
    <cellStyle name="Normal 8 2 2 2 12" xfId="10739" xr:uid="{7CD024C9-A541-4A36-90AD-E9F48D5041B1}"/>
    <cellStyle name="Normal 8 2 2 2 2" xfId="485" xr:uid="{00000000-0005-0000-0000-00005F030000}"/>
    <cellStyle name="Normal 8 2 2 2 2 10" xfId="1374" xr:uid="{61BB6700-78BC-4FC4-8B96-F443C90781F0}"/>
    <cellStyle name="Normal 8 2 2 2 2 11" xfId="10740" xr:uid="{6EDB178F-D788-4114-9323-1C1BB420E892}"/>
    <cellStyle name="Normal 8 2 2 2 2 2" xfId="486" xr:uid="{00000000-0005-0000-0000-000060030000}"/>
    <cellStyle name="Normal 8 2 2 2 2 2 10" xfId="10741" xr:uid="{94EE0A81-CF00-4E95-AE79-8ED96F67AAC6}"/>
    <cellStyle name="Normal 8 2 2 2 2 2 2" xfId="958" xr:uid="{00000000-0005-0000-0000-000061030000}"/>
    <cellStyle name="Normal 8 2 2 2 2 2 2 2" xfId="4849" xr:uid="{01E1A26A-8AC6-4482-B0CE-3FF1FEECC721}"/>
    <cellStyle name="Normal 8 2 2 2 2 2 2 2 2" xfId="9067" xr:uid="{78C0E933-2171-4162-B513-B72AD57F5D6D}"/>
    <cellStyle name="Normal 8 2 2 2 2 2 2 3" xfId="6922" xr:uid="{7FBA99A1-9E6F-4AF4-A579-2CAD8229F2E4}"/>
    <cellStyle name="Normal 8 2 2 2 2 2 2 4" xfId="2620" xr:uid="{78C54B8A-1381-47EA-BA1E-4CFF4DA28459}"/>
    <cellStyle name="Normal 8 2 2 2 2 2 2 5" xfId="1791" xr:uid="{7EBB66B6-73FD-44D5-81EF-11D273B6D29A}"/>
    <cellStyle name="Normal 8 2 2 2 2 2 2 6" xfId="11157" xr:uid="{3C109496-A200-45FB-BCB5-E891A9D994C2}"/>
    <cellStyle name="Normal 8 2 2 2 2 2 3" xfId="3033" xr:uid="{3C40F414-EDB6-48F6-AA9D-062FAEB87D6F}"/>
    <cellStyle name="Normal 8 2 2 2 2 2 3 2" xfId="5262" xr:uid="{B2A864B4-1AB8-4A32-8719-9AD3BBA213E8}"/>
    <cellStyle name="Normal 8 2 2 2 2 2 3 2 2" xfId="9480" xr:uid="{7C77FFE2-F1D7-4AA4-8B6A-C3017F2D6476}"/>
    <cellStyle name="Normal 8 2 2 2 2 2 3 3" xfId="7335" xr:uid="{5C6CE49C-E7D1-440E-BDD8-C8C87772765E}"/>
    <cellStyle name="Normal 8 2 2 2 2 2 4" xfId="3446" xr:uid="{2B8DF764-09DD-42BD-A338-AEDF5EABB821}"/>
    <cellStyle name="Normal 8 2 2 2 2 2 4 2" xfId="5675" xr:uid="{0066AA9F-7015-4C37-8C22-1C998A70CF78}"/>
    <cellStyle name="Normal 8 2 2 2 2 2 4 2 2" xfId="9893" xr:uid="{C741FE54-3C40-49DA-AD65-EBB7D73AA8EF}"/>
    <cellStyle name="Normal 8 2 2 2 2 2 4 3" xfId="7748" xr:uid="{89E2A933-AFD4-4E74-88CA-923EF8EAE8D7}"/>
    <cellStyle name="Normal 8 2 2 2 2 2 5" xfId="3859" xr:uid="{C92788A5-F20F-44E5-84A4-A14059A3996E}"/>
    <cellStyle name="Normal 8 2 2 2 2 2 5 2" xfId="6088" xr:uid="{2A6D9E60-7BD6-4269-994C-C5308397B7EC}"/>
    <cellStyle name="Normal 8 2 2 2 2 2 5 2 2" xfId="10306" xr:uid="{32399502-713B-43E6-8BCE-D779CBCCC115}"/>
    <cellStyle name="Normal 8 2 2 2 2 2 5 3" xfId="8161" xr:uid="{BA92ECD5-9CB3-4AE8-8F00-839396E347FB}"/>
    <cellStyle name="Normal 8 2 2 2 2 2 6" xfId="4295" xr:uid="{D45AE518-C536-46C0-A94E-B07F9710D7D6}"/>
    <cellStyle name="Normal 8 2 2 2 2 2 6 2" xfId="8574" xr:uid="{B1ED1213-0C22-4D8D-8239-D384E8886FD1}"/>
    <cellStyle name="Normal 8 2 2 2 2 2 7" xfId="6509" xr:uid="{05D42011-4AE2-49AC-B416-62EE256264C9}"/>
    <cellStyle name="Normal 8 2 2 2 2 2 8" xfId="2205" xr:uid="{9A705B18-ECA2-44F1-A1FB-53FF47D293C9}"/>
    <cellStyle name="Normal 8 2 2 2 2 2 9" xfId="1375" xr:uid="{EE34EC3F-AB92-4006-B5DE-A1F887BDCBE0}"/>
    <cellStyle name="Normal 8 2 2 2 2 3" xfId="957" xr:uid="{00000000-0005-0000-0000-000062030000}"/>
    <cellStyle name="Normal 8 2 2 2 2 3 2" xfId="4848" xr:uid="{5493B108-E1E1-45E0-8A66-083AB2BF07F3}"/>
    <cellStyle name="Normal 8 2 2 2 2 3 2 2" xfId="9066" xr:uid="{E5883ACE-B553-41E9-A31B-982DB96F291C}"/>
    <cellStyle name="Normal 8 2 2 2 2 3 3" xfId="6921" xr:uid="{C90802F0-C296-4A1F-9BC7-07F51D77136B}"/>
    <cellStyle name="Normal 8 2 2 2 2 3 4" xfId="2619" xr:uid="{BB6796B6-FD75-470A-9EB3-B42A4E58CE97}"/>
    <cellStyle name="Normal 8 2 2 2 2 3 5" xfId="1790" xr:uid="{E319C9A3-D8B2-443D-8D0F-78C89DB6A882}"/>
    <cellStyle name="Normal 8 2 2 2 2 3 6" xfId="11156" xr:uid="{E0B6D311-E2B3-48B4-8580-B64D9812A124}"/>
    <cellStyle name="Normal 8 2 2 2 2 4" xfId="3032" xr:uid="{9FBA9B01-4D3B-4FC5-812F-724C4EE7F0D8}"/>
    <cellStyle name="Normal 8 2 2 2 2 4 2" xfId="5261" xr:uid="{6B389DA4-4F7A-4148-9A07-39FB3A2CA88C}"/>
    <cellStyle name="Normal 8 2 2 2 2 4 2 2" xfId="9479" xr:uid="{07292073-0929-4714-96AE-27F337F909F6}"/>
    <cellStyle name="Normal 8 2 2 2 2 4 3" xfId="7334" xr:uid="{95CE7EA2-5491-4F1E-89C6-6C3C7987D4B0}"/>
    <cellStyle name="Normal 8 2 2 2 2 5" xfId="3445" xr:uid="{E34F7FCF-74E7-469F-8A7A-D143406BD4BC}"/>
    <cellStyle name="Normal 8 2 2 2 2 5 2" xfId="5674" xr:uid="{75452B6D-9F28-49FD-A9DD-DF36425FDB9F}"/>
    <cellStyle name="Normal 8 2 2 2 2 5 2 2" xfId="9892" xr:uid="{F72EBEF8-DEAF-4EBB-9592-67C6B29E6267}"/>
    <cellStyle name="Normal 8 2 2 2 2 5 3" xfId="7747" xr:uid="{3F07D2A3-7369-453C-8598-0CB3947E35AA}"/>
    <cellStyle name="Normal 8 2 2 2 2 6" xfId="3858" xr:uid="{985DB3BB-8BA6-418C-8B21-F05C1573E5E3}"/>
    <cellStyle name="Normal 8 2 2 2 2 6 2" xfId="6087" xr:uid="{91A9B921-4985-4D30-A648-D687FB57BF04}"/>
    <cellStyle name="Normal 8 2 2 2 2 6 2 2" xfId="10305" xr:uid="{362E1807-AC94-4E1D-A57C-EDA31C7CF245}"/>
    <cellStyle name="Normal 8 2 2 2 2 6 3" xfId="8160" xr:uid="{CEF955E4-53DF-4AF7-A142-406F489A2194}"/>
    <cellStyle name="Normal 8 2 2 2 2 7" xfId="4294" xr:uid="{8BFC1F6B-121B-42BC-B524-E87BC3DB1F8B}"/>
    <cellStyle name="Normal 8 2 2 2 2 7 2" xfId="8573" xr:uid="{3AD8927B-E676-41ED-81E1-C489D89D4B26}"/>
    <cellStyle name="Normal 8 2 2 2 2 8" xfId="6508" xr:uid="{D4C49EB9-659E-4CC3-9196-35BB5188ED82}"/>
    <cellStyle name="Normal 8 2 2 2 2 9" xfId="2204" xr:uid="{9254C8D6-E263-4F20-A843-373A39AE7CEC}"/>
    <cellStyle name="Normal 8 2 2 2 3" xfId="487" xr:uid="{00000000-0005-0000-0000-000063030000}"/>
    <cellStyle name="Normal 8 2 2 2 3 10" xfId="10742" xr:uid="{050CB02E-A8D4-4BDC-BA5B-DB25DADC5C4D}"/>
    <cellStyle name="Normal 8 2 2 2 3 2" xfId="959" xr:uid="{00000000-0005-0000-0000-000064030000}"/>
    <cellStyle name="Normal 8 2 2 2 3 2 2" xfId="4850" xr:uid="{8BC385FD-BFB9-4E13-9BB5-A21504CF27C8}"/>
    <cellStyle name="Normal 8 2 2 2 3 2 2 2" xfId="9068" xr:uid="{62E85E57-8439-4CCB-9E69-35A3353181B6}"/>
    <cellStyle name="Normal 8 2 2 2 3 2 3" xfId="6923" xr:uid="{C6941AD8-C47B-4871-9BC6-83212D08B662}"/>
    <cellStyle name="Normal 8 2 2 2 3 2 4" xfId="2621" xr:uid="{1E57BCA3-EA22-4E4A-8AB3-A00397B1D782}"/>
    <cellStyle name="Normal 8 2 2 2 3 2 5" xfId="1792" xr:uid="{F220C001-166A-4757-94C3-7F1DA1A72DDF}"/>
    <cellStyle name="Normal 8 2 2 2 3 2 6" xfId="11158" xr:uid="{66B360BB-1CD1-4983-9902-D2B9F1E85277}"/>
    <cellStyle name="Normal 8 2 2 2 3 3" xfId="3034" xr:uid="{C6B6BEA4-ECA4-4A0A-A0CB-9727DE14402B}"/>
    <cellStyle name="Normal 8 2 2 2 3 3 2" xfId="5263" xr:uid="{2A1B99E4-C765-447A-87A0-A04ADD781ECB}"/>
    <cellStyle name="Normal 8 2 2 2 3 3 2 2" xfId="9481" xr:uid="{BB83BDAD-46D3-4037-8CBE-CEF5E02A35EF}"/>
    <cellStyle name="Normal 8 2 2 2 3 3 3" xfId="7336" xr:uid="{1C55E6DB-11A9-4363-B213-4CD1EB46CBF5}"/>
    <cellStyle name="Normal 8 2 2 2 3 4" xfId="3447" xr:uid="{F001F7A7-F080-4B72-8D16-96414DDE3333}"/>
    <cellStyle name="Normal 8 2 2 2 3 4 2" xfId="5676" xr:uid="{6130A949-AA14-4D00-AF96-642CB92AFC1D}"/>
    <cellStyle name="Normal 8 2 2 2 3 4 2 2" xfId="9894" xr:uid="{2A1D57EE-2D34-4833-9B5E-78B863441D4B}"/>
    <cellStyle name="Normal 8 2 2 2 3 4 3" xfId="7749" xr:uid="{44EACD54-48E3-4970-9E69-36A4BBB6C9BA}"/>
    <cellStyle name="Normal 8 2 2 2 3 5" xfId="3860" xr:uid="{CB44B38D-70A9-4AE2-B5EB-68DA4A76C4F9}"/>
    <cellStyle name="Normal 8 2 2 2 3 5 2" xfId="6089" xr:uid="{E1653014-1B32-40FC-A4E4-A926C7A130C0}"/>
    <cellStyle name="Normal 8 2 2 2 3 5 2 2" xfId="10307" xr:uid="{CCEB9185-7E15-4556-A512-9B9B065410DB}"/>
    <cellStyle name="Normal 8 2 2 2 3 5 3" xfId="8162" xr:uid="{8A137182-5014-460D-90F5-ED3516149DC4}"/>
    <cellStyle name="Normal 8 2 2 2 3 6" xfId="4296" xr:uid="{5D4B6440-789D-4A7D-86FA-148A7F0A4748}"/>
    <cellStyle name="Normal 8 2 2 2 3 6 2" xfId="8575" xr:uid="{0B141582-5C76-4CD0-A1E4-0B2BD66E4CFA}"/>
    <cellStyle name="Normal 8 2 2 2 3 7" xfId="6510" xr:uid="{FD435617-074B-49CC-985E-E7E9936AFFF6}"/>
    <cellStyle name="Normal 8 2 2 2 3 8" xfId="2206" xr:uid="{0D1B946B-43CE-46BC-9054-641D9F62C85B}"/>
    <cellStyle name="Normal 8 2 2 2 3 9" xfId="1376" xr:uid="{D99F6CEF-12E8-4922-A6DB-52A9F47653CD}"/>
    <cellStyle name="Normal 8 2 2 2 4" xfId="956" xr:uid="{00000000-0005-0000-0000-000065030000}"/>
    <cellStyle name="Normal 8 2 2 2 4 2" xfId="4847" xr:uid="{C215E30A-82E9-4CE7-A2BA-3663A87EFA52}"/>
    <cellStyle name="Normal 8 2 2 2 4 2 2" xfId="9065" xr:uid="{2A5278D8-ADBB-4A2B-9BFD-8E386DEFBFA1}"/>
    <cellStyle name="Normal 8 2 2 2 4 3" xfId="6920" xr:uid="{323A4BC7-957E-4561-A32A-577BE643517F}"/>
    <cellStyle name="Normal 8 2 2 2 4 4" xfId="2618" xr:uid="{BFAD7759-AA60-4D47-94B6-58434665D6B6}"/>
    <cellStyle name="Normal 8 2 2 2 4 5" xfId="1789" xr:uid="{0C8BBE39-A5D8-4C25-B7C7-7A5D09525390}"/>
    <cellStyle name="Normal 8 2 2 2 4 6" xfId="11155" xr:uid="{0EEAE3E1-4B86-4EC2-B175-47B6AC065275}"/>
    <cellStyle name="Normal 8 2 2 2 5" xfId="3031" xr:uid="{BC67770D-C772-4AD7-87AB-3EEC77FB741F}"/>
    <cellStyle name="Normal 8 2 2 2 5 2" xfId="5260" xr:uid="{38FB99AF-51F6-4565-A0B2-E082CD80F8AC}"/>
    <cellStyle name="Normal 8 2 2 2 5 2 2" xfId="9478" xr:uid="{4D22B526-1A84-47CB-A849-3C872A7C9DC5}"/>
    <cellStyle name="Normal 8 2 2 2 5 3" xfId="7333" xr:uid="{8BE82E30-BD05-4BB3-B1AB-C2387B327DCE}"/>
    <cellStyle name="Normal 8 2 2 2 6" xfId="3444" xr:uid="{27D97F1A-B2F6-43C2-BD01-6D3457F83800}"/>
    <cellStyle name="Normal 8 2 2 2 6 2" xfId="5673" xr:uid="{E20B6F04-3A2A-48C4-A883-CFE12FF99D0D}"/>
    <cellStyle name="Normal 8 2 2 2 6 2 2" xfId="9891" xr:uid="{CABBB71E-7C75-4566-AADC-13ECD6FBB46B}"/>
    <cellStyle name="Normal 8 2 2 2 6 3" xfId="7746" xr:uid="{E691B4E4-9FB6-4160-AE4F-3B352E6D1783}"/>
    <cellStyle name="Normal 8 2 2 2 7" xfId="3857" xr:uid="{64FB7E59-185E-423A-8098-8D86CF0F6B4B}"/>
    <cellStyle name="Normal 8 2 2 2 7 2" xfId="6086" xr:uid="{42853FEB-5895-47C5-8403-CA726E9F124E}"/>
    <cellStyle name="Normal 8 2 2 2 7 2 2" xfId="10304" xr:uid="{732E9386-FE83-44A8-B517-60EC69385B71}"/>
    <cellStyle name="Normal 8 2 2 2 7 3" xfId="8159" xr:uid="{F2E49D08-8FF1-4D3F-88C3-479E95AFD35A}"/>
    <cellStyle name="Normal 8 2 2 2 8" xfId="4293" xr:uid="{2BC931ED-EB27-4051-A4EA-CBB776E0907B}"/>
    <cellStyle name="Normal 8 2 2 2 8 2" xfId="8572" xr:uid="{294CB819-057C-4207-89FD-B9368B99B7A9}"/>
    <cellStyle name="Normal 8 2 2 2 9" xfId="6507" xr:uid="{CF4229BF-C5EC-446F-ABCB-E6FFE571E36A}"/>
    <cellStyle name="Normal 8 2 2 3" xfId="488" xr:uid="{00000000-0005-0000-0000-000066030000}"/>
    <cellStyle name="Normal 8 2 2 3 10" xfId="1377" xr:uid="{EC10D3BC-D6F6-417B-A3F5-46513B37D986}"/>
    <cellStyle name="Normal 8 2 2 3 11" xfId="10743" xr:uid="{5EFB236E-AD55-4895-A6E7-B2C96E609819}"/>
    <cellStyle name="Normal 8 2 2 3 2" xfId="489" xr:uid="{00000000-0005-0000-0000-000067030000}"/>
    <cellStyle name="Normal 8 2 2 3 2 10" xfId="10744" xr:uid="{F448746B-7848-4682-BC22-85A50F7A1613}"/>
    <cellStyle name="Normal 8 2 2 3 2 2" xfId="961" xr:uid="{00000000-0005-0000-0000-000068030000}"/>
    <cellStyle name="Normal 8 2 2 3 2 2 2" xfId="4852" xr:uid="{B198DFA5-5BE1-4ECE-824B-6BA0265BE4C6}"/>
    <cellStyle name="Normal 8 2 2 3 2 2 2 2" xfId="9070" xr:uid="{BB62772B-7465-4252-811E-3471B6404A04}"/>
    <cellStyle name="Normal 8 2 2 3 2 2 3" xfId="6925" xr:uid="{28FA186B-2B82-4C3A-8539-641AB5FA3AB0}"/>
    <cellStyle name="Normal 8 2 2 3 2 2 4" xfId="2623" xr:uid="{36E55BCE-3D4F-46D4-A5AD-7D7F102C5F7A}"/>
    <cellStyle name="Normal 8 2 2 3 2 2 5" xfId="1794" xr:uid="{25D7B168-D625-4E2E-9766-7026CBA7E2CA}"/>
    <cellStyle name="Normal 8 2 2 3 2 2 6" xfId="11160" xr:uid="{D846ED86-A9A3-4057-8D5E-7898D1C0AAB0}"/>
    <cellStyle name="Normal 8 2 2 3 2 3" xfId="3036" xr:uid="{0A31DF66-AEFE-41F3-8C35-0EDF50C27293}"/>
    <cellStyle name="Normal 8 2 2 3 2 3 2" xfId="5265" xr:uid="{9289F123-1EA8-47F5-BD82-A64455AA2E3B}"/>
    <cellStyle name="Normal 8 2 2 3 2 3 2 2" xfId="9483" xr:uid="{8BD742A3-9991-42E6-9074-03F84F4218F6}"/>
    <cellStyle name="Normal 8 2 2 3 2 3 3" xfId="7338" xr:uid="{A43CE64A-FD81-4889-B6EA-AB7C69010F54}"/>
    <cellStyle name="Normal 8 2 2 3 2 4" xfId="3449" xr:uid="{728A08A7-D1F4-44FC-892D-9CC40F4E4DF0}"/>
    <cellStyle name="Normal 8 2 2 3 2 4 2" xfId="5678" xr:uid="{5E681CFE-0D52-4EF0-BF27-68487391FE5C}"/>
    <cellStyle name="Normal 8 2 2 3 2 4 2 2" xfId="9896" xr:uid="{59DB0A9F-A63E-4687-8304-12E496D7AE2B}"/>
    <cellStyle name="Normal 8 2 2 3 2 4 3" xfId="7751" xr:uid="{016EFA61-CC17-41C3-B924-2AA999E211E9}"/>
    <cellStyle name="Normal 8 2 2 3 2 5" xfId="3862" xr:uid="{B6B21EEE-5731-4B5B-86F0-B3B0C3FBCD6F}"/>
    <cellStyle name="Normal 8 2 2 3 2 5 2" xfId="6091" xr:uid="{C7CD9B33-D2BE-4C04-B803-C9055F8538B7}"/>
    <cellStyle name="Normal 8 2 2 3 2 5 2 2" xfId="10309" xr:uid="{0AE6F4E4-E805-42C6-A54B-7A281ECFB9EE}"/>
    <cellStyle name="Normal 8 2 2 3 2 5 3" xfId="8164" xr:uid="{0CA5A637-A84C-4ABB-93C4-836B45953217}"/>
    <cellStyle name="Normal 8 2 2 3 2 6" xfId="4298" xr:uid="{9965A7D6-A08D-4B31-B494-FE5D8DD6D960}"/>
    <cellStyle name="Normal 8 2 2 3 2 6 2" xfId="8577" xr:uid="{0ED072A0-BF90-4E69-8CE8-CDDDDC5D6C81}"/>
    <cellStyle name="Normal 8 2 2 3 2 7" xfId="6512" xr:uid="{5AFF7AF1-246D-4B54-B300-1617E7C00CD2}"/>
    <cellStyle name="Normal 8 2 2 3 2 8" xfId="2208" xr:uid="{317FEB7E-821A-4D33-97D0-E376E1D55CFA}"/>
    <cellStyle name="Normal 8 2 2 3 2 9" xfId="1378" xr:uid="{A81E40B1-60A6-4C63-8FF1-BBDBEE643026}"/>
    <cellStyle name="Normal 8 2 2 3 3" xfId="960" xr:uid="{00000000-0005-0000-0000-000069030000}"/>
    <cellStyle name="Normal 8 2 2 3 3 2" xfId="4851" xr:uid="{6C426202-8273-40F5-8131-BB0D16DB5C58}"/>
    <cellStyle name="Normal 8 2 2 3 3 2 2" xfId="9069" xr:uid="{653DDE32-60D9-4195-8D9C-B76374F462E7}"/>
    <cellStyle name="Normal 8 2 2 3 3 3" xfId="6924" xr:uid="{4A50C185-688B-4960-87D2-810C71027B70}"/>
    <cellStyle name="Normal 8 2 2 3 3 4" xfId="2622" xr:uid="{1357DC2A-C571-433E-8F13-C1F51A151A51}"/>
    <cellStyle name="Normal 8 2 2 3 3 5" xfId="1793" xr:uid="{47DDD264-1B38-474A-BA37-0984A36E02A4}"/>
    <cellStyle name="Normal 8 2 2 3 3 6" xfId="11159" xr:uid="{3D6A43F2-E5F8-4231-A31F-B793659A5B5E}"/>
    <cellStyle name="Normal 8 2 2 3 4" xfId="3035" xr:uid="{23D4878F-A30F-403B-94C7-C917C70DD11F}"/>
    <cellStyle name="Normal 8 2 2 3 4 2" xfId="5264" xr:uid="{FCFE8899-1A2E-43E9-A6ED-7EBFBA0F0407}"/>
    <cellStyle name="Normal 8 2 2 3 4 2 2" xfId="9482" xr:uid="{45E4BA49-333F-4838-BD24-A83B2D6DCFEC}"/>
    <cellStyle name="Normal 8 2 2 3 4 3" xfId="7337" xr:uid="{65F39D88-6633-47AB-82CA-E520AB98A5C8}"/>
    <cellStyle name="Normal 8 2 2 3 5" xfId="3448" xr:uid="{FA22774C-796C-40E7-AA77-93CCF66B62E9}"/>
    <cellStyle name="Normal 8 2 2 3 5 2" xfId="5677" xr:uid="{BFE35D86-8B57-4262-9984-947EB15230C4}"/>
    <cellStyle name="Normal 8 2 2 3 5 2 2" xfId="9895" xr:uid="{C60F60BF-31DF-4545-82AE-278DE042A75F}"/>
    <cellStyle name="Normal 8 2 2 3 5 3" xfId="7750" xr:uid="{9AE5C4AD-4F85-417C-BD78-91B85EC52CD5}"/>
    <cellStyle name="Normal 8 2 2 3 6" xfId="3861" xr:uid="{CE67C0E6-BF02-45A0-80DF-38A612F279E4}"/>
    <cellStyle name="Normal 8 2 2 3 6 2" xfId="6090" xr:uid="{B48D77AC-1486-4064-866F-99532FCDF18E}"/>
    <cellStyle name="Normal 8 2 2 3 6 2 2" xfId="10308" xr:uid="{5E90946D-3D19-4E2E-8F4C-B56683E09E07}"/>
    <cellStyle name="Normal 8 2 2 3 6 3" xfId="8163" xr:uid="{9F74F084-6D43-4D60-BB71-B3D56EA4DF14}"/>
    <cellStyle name="Normal 8 2 2 3 7" xfId="4297" xr:uid="{8976E4CF-E65F-4C48-B223-7B2D0E92F1F1}"/>
    <cellStyle name="Normal 8 2 2 3 7 2" xfId="8576" xr:uid="{2B2B077B-F2F9-452F-813F-B300F09A45C4}"/>
    <cellStyle name="Normal 8 2 2 3 8" xfId="6511" xr:uid="{98D20762-ED22-4779-941B-281236189F7A}"/>
    <cellStyle name="Normal 8 2 2 3 9" xfId="2207" xr:uid="{A7152CD7-6494-4BF0-B873-3DF30A78A66D}"/>
    <cellStyle name="Normal 8 2 2 4" xfId="490" xr:uid="{00000000-0005-0000-0000-00006A030000}"/>
    <cellStyle name="Normal 8 2 2 4 10" xfId="10745" xr:uid="{674B5B3C-F5B1-4D2B-B883-1DC86F0EB260}"/>
    <cellStyle name="Normal 8 2 2 4 2" xfId="962" xr:uid="{00000000-0005-0000-0000-00006B030000}"/>
    <cellStyle name="Normal 8 2 2 4 2 2" xfId="4853" xr:uid="{8A531AE8-CF70-46DC-A36A-AA7822C82F9D}"/>
    <cellStyle name="Normal 8 2 2 4 2 2 2" xfId="9071" xr:uid="{31AB5A35-567A-4708-9BE0-F07BA24CE2D0}"/>
    <cellStyle name="Normal 8 2 2 4 2 3" xfId="6926" xr:uid="{2DE9BCE9-F521-4AB7-B762-20B3C9B3F405}"/>
    <cellStyle name="Normal 8 2 2 4 2 4" xfId="2624" xr:uid="{1FB9537F-0785-47E2-AB26-C826F27535E8}"/>
    <cellStyle name="Normal 8 2 2 4 2 5" xfId="1795" xr:uid="{CDBD22B9-4E52-46A7-84EB-4A2851407ED4}"/>
    <cellStyle name="Normal 8 2 2 4 2 6" xfId="11161" xr:uid="{991C9AC0-788B-432B-93BA-50DEDE282644}"/>
    <cellStyle name="Normal 8 2 2 4 3" xfId="3037" xr:uid="{A9E6C700-23F7-47E3-A7D5-84B123B35519}"/>
    <cellStyle name="Normal 8 2 2 4 3 2" xfId="5266" xr:uid="{86893EEB-D6DD-42D5-8ED0-4AA4A35A5BF4}"/>
    <cellStyle name="Normal 8 2 2 4 3 2 2" xfId="9484" xr:uid="{BFD5B16E-DB12-4B6F-AAB9-1D94AE0EA9FF}"/>
    <cellStyle name="Normal 8 2 2 4 3 3" xfId="7339" xr:uid="{0DC23CDC-5A5D-49AA-8972-39BE8566D5C8}"/>
    <cellStyle name="Normal 8 2 2 4 4" xfId="3450" xr:uid="{099BBEC2-CA3F-4B85-8140-39B20F07A349}"/>
    <cellStyle name="Normal 8 2 2 4 4 2" xfId="5679" xr:uid="{C25AD7B6-234A-45D8-9B30-A388D7A1076A}"/>
    <cellStyle name="Normal 8 2 2 4 4 2 2" xfId="9897" xr:uid="{1C73CE8F-1A72-4705-8D8B-1251ABB8030F}"/>
    <cellStyle name="Normal 8 2 2 4 4 3" xfId="7752" xr:uid="{D019DA9C-5709-46DC-9045-F67CDEB7BAAD}"/>
    <cellStyle name="Normal 8 2 2 4 5" xfId="3863" xr:uid="{3BD71A88-23E1-4644-B17D-2945313B8165}"/>
    <cellStyle name="Normal 8 2 2 4 5 2" xfId="6092" xr:uid="{ED520A7E-D5A8-4C6C-86C2-D7ECF5B49437}"/>
    <cellStyle name="Normal 8 2 2 4 5 2 2" xfId="10310" xr:uid="{8F144479-CA94-46C6-82A1-F4147E8D3F13}"/>
    <cellStyle name="Normal 8 2 2 4 5 3" xfId="8165" xr:uid="{49586200-E210-4729-8E5D-CA85378CFC57}"/>
    <cellStyle name="Normal 8 2 2 4 6" xfId="4299" xr:uid="{57B13682-51A5-4924-810A-378E76ABCAFC}"/>
    <cellStyle name="Normal 8 2 2 4 6 2" xfId="8578" xr:uid="{94459D5A-DE10-4A0C-81D5-7B2FC685AE4F}"/>
    <cellStyle name="Normal 8 2 2 4 7" xfId="6513" xr:uid="{7D54E3A5-4319-4A95-8B59-32A2CE7A5197}"/>
    <cellStyle name="Normal 8 2 2 4 8" xfId="2209" xr:uid="{86ACDD88-B80F-4B62-A647-89E22A4B0DEC}"/>
    <cellStyle name="Normal 8 2 2 4 9" xfId="1379" xr:uid="{DD762EF4-E6A1-4F29-9A45-8314AE7207C0}"/>
    <cellStyle name="Normal 8 2 2 5" xfId="955" xr:uid="{00000000-0005-0000-0000-00006C030000}"/>
    <cellStyle name="Normal 8 2 2 5 2" xfId="4846" xr:uid="{20594A59-B0AF-4944-8E58-6F3CD5A5E1FA}"/>
    <cellStyle name="Normal 8 2 2 5 2 2" xfId="9064" xr:uid="{748BF9C8-242E-435F-8F6C-6D2C259BBB5B}"/>
    <cellStyle name="Normal 8 2 2 5 3" xfId="6919" xr:uid="{F1F002F6-16D9-4510-9A78-FF72D1520907}"/>
    <cellStyle name="Normal 8 2 2 5 4" xfId="2617" xr:uid="{5C3EEDC0-2FF3-46DE-98E0-F4E0E62B24B9}"/>
    <cellStyle name="Normal 8 2 2 5 5" xfId="1788" xr:uid="{40F14EFD-4278-4958-9927-F0BFBA094C9F}"/>
    <cellStyle name="Normal 8 2 2 5 6" xfId="11154" xr:uid="{4DA851FF-FB26-45C4-94FF-2EA6B19C43A8}"/>
    <cellStyle name="Normal 8 2 2 6" xfId="3030" xr:uid="{8ABF550E-09E3-4BFB-AB56-F7246551282A}"/>
    <cellStyle name="Normal 8 2 2 6 2" xfId="5259" xr:uid="{DC29ECCC-DEDA-406D-8B90-A733D055A54B}"/>
    <cellStyle name="Normal 8 2 2 6 2 2" xfId="9477" xr:uid="{C6765605-7C6D-4871-8396-EA87AB4197E5}"/>
    <cellStyle name="Normal 8 2 2 6 3" xfId="7332" xr:uid="{CC359B91-DF7E-4994-BD88-926B4CF82BE8}"/>
    <cellStyle name="Normal 8 2 2 7" xfId="3443" xr:uid="{92A7C719-707D-47EE-AACD-EF35792D0CF7}"/>
    <cellStyle name="Normal 8 2 2 7 2" xfId="5672" xr:uid="{C41310E1-C0A8-4D02-9C4D-CB47F848A42E}"/>
    <cellStyle name="Normal 8 2 2 7 2 2" xfId="9890" xr:uid="{0EB816FF-A0DD-4DA9-B69B-26C4D6E82C0C}"/>
    <cellStyle name="Normal 8 2 2 7 3" xfId="7745" xr:uid="{70BCA77A-6CE1-4273-9718-6AB89116E8BA}"/>
    <cellStyle name="Normal 8 2 2 8" xfId="3856" xr:uid="{FE6E5142-F44D-46D8-9BD7-A3539D0AB22C}"/>
    <cellStyle name="Normal 8 2 2 8 2" xfId="6085" xr:uid="{1A912261-F8D6-46B7-B234-7699C2C15E38}"/>
    <cellStyle name="Normal 8 2 2 8 2 2" xfId="10303" xr:uid="{18EF0939-CFF5-4685-9A06-D696F165E45F}"/>
    <cellStyle name="Normal 8 2 2 8 3" xfId="8158" xr:uid="{AD5332ED-7C1B-4F3F-ACC0-8BED1EAC4062}"/>
    <cellStyle name="Normal 8 2 2 9" xfId="4292" xr:uid="{4DBC05F2-9CED-45CD-A004-6A1C57DE3B11}"/>
    <cellStyle name="Normal 8 2 2 9 2" xfId="8571" xr:uid="{88488052-F216-4A20-BF65-4815F30AB559}"/>
    <cellStyle name="Normal 8 2 3" xfId="491" xr:uid="{00000000-0005-0000-0000-00006D030000}"/>
    <cellStyle name="Normal 8 2 3 10" xfId="2210" xr:uid="{6A2CBDDC-A367-46D4-86B5-8E365FE614E9}"/>
    <cellStyle name="Normal 8 2 3 11" xfId="1380" xr:uid="{3C914BF3-E94F-4B41-BA05-086C5C643D0C}"/>
    <cellStyle name="Normal 8 2 3 12" xfId="10746" xr:uid="{C2A2A55C-C5DF-47CC-A930-FD689A256F56}"/>
    <cellStyle name="Normal 8 2 3 2" xfId="492" xr:uid="{00000000-0005-0000-0000-00006E030000}"/>
    <cellStyle name="Normal 8 2 3 2 10" xfId="1381" xr:uid="{6E585EF3-441D-43FD-81DD-B018DBB1AC28}"/>
    <cellStyle name="Normal 8 2 3 2 11" xfId="10747" xr:uid="{6E163DFD-EE26-49F1-99EC-5135DFEF0D98}"/>
    <cellStyle name="Normal 8 2 3 2 2" xfId="493" xr:uid="{00000000-0005-0000-0000-00006F030000}"/>
    <cellStyle name="Normal 8 2 3 2 2 10" xfId="10748" xr:uid="{71B0FB38-CCFF-46DE-9D7C-5733C68D0482}"/>
    <cellStyle name="Normal 8 2 3 2 2 2" xfId="965" xr:uid="{00000000-0005-0000-0000-000070030000}"/>
    <cellStyle name="Normal 8 2 3 2 2 2 2" xfId="4856" xr:uid="{4989A5B7-EC80-46C2-9DC8-5AB5C777885D}"/>
    <cellStyle name="Normal 8 2 3 2 2 2 2 2" xfId="9074" xr:uid="{EC0A5322-B3C2-4EA8-8CBB-C60AD94BF368}"/>
    <cellStyle name="Normal 8 2 3 2 2 2 3" xfId="6929" xr:uid="{D9BE14B4-B043-4C67-A677-0513D2821500}"/>
    <cellStyle name="Normal 8 2 3 2 2 2 4" xfId="2627" xr:uid="{F4D22F62-2068-4682-99D6-C7BB151296A9}"/>
    <cellStyle name="Normal 8 2 3 2 2 2 5" xfId="1798" xr:uid="{BB932ABF-AF44-4E0A-897B-FCBFB54265E7}"/>
    <cellStyle name="Normal 8 2 3 2 2 2 6" xfId="11164" xr:uid="{A79E8F11-E284-4FE9-9510-C3B68DDD3A86}"/>
    <cellStyle name="Normal 8 2 3 2 2 3" xfId="3040" xr:uid="{5D0A4405-692E-4137-8257-86DD4C9B1505}"/>
    <cellStyle name="Normal 8 2 3 2 2 3 2" xfId="5269" xr:uid="{9C6E26E8-BCBB-4273-9BAF-F66CF120FB13}"/>
    <cellStyle name="Normal 8 2 3 2 2 3 2 2" xfId="9487" xr:uid="{572E6A53-867D-42B2-A66D-769A80D59D48}"/>
    <cellStyle name="Normal 8 2 3 2 2 3 3" xfId="7342" xr:uid="{C818EB74-042C-4AEA-A596-6D00F7B6CA07}"/>
    <cellStyle name="Normal 8 2 3 2 2 4" xfId="3453" xr:uid="{5918026E-FA34-4C1A-BB9C-E4BF682EA750}"/>
    <cellStyle name="Normal 8 2 3 2 2 4 2" xfId="5682" xr:uid="{A0324D72-3EF5-4A61-A211-DD108C349778}"/>
    <cellStyle name="Normal 8 2 3 2 2 4 2 2" xfId="9900" xr:uid="{29E519A5-3F1D-471B-BDA2-0080CF847891}"/>
    <cellStyle name="Normal 8 2 3 2 2 4 3" xfId="7755" xr:uid="{DD8BA7DE-7AE6-4380-87C0-9A151BE42CCC}"/>
    <cellStyle name="Normal 8 2 3 2 2 5" xfId="3866" xr:uid="{11EFD44D-5F48-4B22-A1E5-D1E2E762E35E}"/>
    <cellStyle name="Normal 8 2 3 2 2 5 2" xfId="6095" xr:uid="{7A16918A-EC7D-42F3-902A-2B8884DD5839}"/>
    <cellStyle name="Normal 8 2 3 2 2 5 2 2" xfId="10313" xr:uid="{92E0F29B-7C9B-484D-8A4E-08B5FFD125D9}"/>
    <cellStyle name="Normal 8 2 3 2 2 5 3" xfId="8168" xr:uid="{D8DF7B75-2350-4967-B2B7-8000DA028115}"/>
    <cellStyle name="Normal 8 2 3 2 2 6" xfId="4302" xr:uid="{FAD1C0AB-FE06-4700-A93A-3283B16380DA}"/>
    <cellStyle name="Normal 8 2 3 2 2 6 2" xfId="8581" xr:uid="{017BFB5E-09D2-4B82-BA1A-28F3F8A5F720}"/>
    <cellStyle name="Normal 8 2 3 2 2 7" xfId="6516" xr:uid="{B9BC7709-77C3-4750-AEFF-19D17B970899}"/>
    <cellStyle name="Normal 8 2 3 2 2 8" xfId="2212" xr:uid="{1EC8E448-E8F2-4B30-812C-3FEF582B5372}"/>
    <cellStyle name="Normal 8 2 3 2 2 9" xfId="1382" xr:uid="{696391EF-317C-474F-8603-5A7A90FF4140}"/>
    <cellStyle name="Normal 8 2 3 2 3" xfId="964" xr:uid="{00000000-0005-0000-0000-000071030000}"/>
    <cellStyle name="Normal 8 2 3 2 3 2" xfId="4855" xr:uid="{330892C0-9885-4592-9D2E-D2FE0C3B3835}"/>
    <cellStyle name="Normal 8 2 3 2 3 2 2" xfId="9073" xr:uid="{AFBA8149-3AB4-4E70-9089-9378F24E989E}"/>
    <cellStyle name="Normal 8 2 3 2 3 3" xfId="6928" xr:uid="{9FF7A253-3EE6-4F5F-BA0A-ABF7053F58F6}"/>
    <cellStyle name="Normal 8 2 3 2 3 4" xfId="2626" xr:uid="{A3B14314-BB5C-4F84-944C-5420E5F911BF}"/>
    <cellStyle name="Normal 8 2 3 2 3 5" xfId="1797" xr:uid="{A6413EEF-8DC5-4A2E-8C34-03AB5C502554}"/>
    <cellStyle name="Normal 8 2 3 2 3 6" xfId="11163" xr:uid="{F6E67E3F-0873-4840-9D1B-27F0623B2C5E}"/>
    <cellStyle name="Normal 8 2 3 2 4" xfId="3039" xr:uid="{2F3BD683-ABA4-4C91-B638-A2AB83C6C5B1}"/>
    <cellStyle name="Normal 8 2 3 2 4 2" xfId="5268" xr:uid="{4083D24D-2CFB-4AFA-8665-89C47D3A1ECF}"/>
    <cellStyle name="Normal 8 2 3 2 4 2 2" xfId="9486" xr:uid="{3D8E9E55-2914-4A86-8D46-C01B4024B4C6}"/>
    <cellStyle name="Normal 8 2 3 2 4 3" xfId="7341" xr:uid="{9ED27B07-2661-4E25-B8D1-5E28AC8405DC}"/>
    <cellStyle name="Normal 8 2 3 2 5" xfId="3452" xr:uid="{04B8136D-918A-4812-912E-3C056DF63F93}"/>
    <cellStyle name="Normal 8 2 3 2 5 2" xfId="5681" xr:uid="{DF7263E5-E141-4CAE-A563-FFF8147AC2C2}"/>
    <cellStyle name="Normal 8 2 3 2 5 2 2" xfId="9899" xr:uid="{49D4FA74-9DA5-40F8-9557-5D9A5CA436C4}"/>
    <cellStyle name="Normal 8 2 3 2 5 3" xfId="7754" xr:uid="{15F31970-9C28-4BD3-BBF3-64ADBDB296A6}"/>
    <cellStyle name="Normal 8 2 3 2 6" xfId="3865" xr:uid="{2DCFAF9D-914F-4832-A828-A3792BB0FC81}"/>
    <cellStyle name="Normal 8 2 3 2 6 2" xfId="6094" xr:uid="{9C43FAAA-620A-4C6C-9ED5-DC25A2ED5872}"/>
    <cellStyle name="Normal 8 2 3 2 6 2 2" xfId="10312" xr:uid="{871CA43E-195D-472F-A9D8-5666E986E800}"/>
    <cellStyle name="Normal 8 2 3 2 6 3" xfId="8167" xr:uid="{4023951D-7500-409F-88E9-065DA05E8885}"/>
    <cellStyle name="Normal 8 2 3 2 7" xfId="4301" xr:uid="{19F092BA-99D2-4CCE-9036-4C50EB40A860}"/>
    <cellStyle name="Normal 8 2 3 2 7 2" xfId="8580" xr:uid="{632265A7-4315-4ADC-8F29-696C9385AFA4}"/>
    <cellStyle name="Normal 8 2 3 2 8" xfId="6515" xr:uid="{2525BFAC-22D4-4869-92AF-27335A36A71A}"/>
    <cellStyle name="Normal 8 2 3 2 9" xfId="2211" xr:uid="{37140E4F-CB98-4DA0-88A6-697013999C60}"/>
    <cellStyle name="Normal 8 2 3 3" xfId="494" xr:uid="{00000000-0005-0000-0000-000072030000}"/>
    <cellStyle name="Normal 8 2 3 3 10" xfId="10749" xr:uid="{1D3F45B3-261A-4DA8-9AEE-66AE022599DB}"/>
    <cellStyle name="Normal 8 2 3 3 2" xfId="966" xr:uid="{00000000-0005-0000-0000-000073030000}"/>
    <cellStyle name="Normal 8 2 3 3 2 2" xfId="4857" xr:uid="{367F4392-F7FE-4219-AFEF-51391DE02337}"/>
    <cellStyle name="Normal 8 2 3 3 2 2 2" xfId="9075" xr:uid="{97BF0179-88C9-42FD-A7E4-89911A932454}"/>
    <cellStyle name="Normal 8 2 3 3 2 3" xfId="6930" xr:uid="{E0BADD4F-F18A-453E-B9F5-3D7ACA0647A5}"/>
    <cellStyle name="Normal 8 2 3 3 2 4" xfId="2628" xr:uid="{715B63C3-0184-4DA4-87C5-56A797B85EA6}"/>
    <cellStyle name="Normal 8 2 3 3 2 5" xfId="1799" xr:uid="{D6F54887-3925-4F8D-920A-841DD50975A1}"/>
    <cellStyle name="Normal 8 2 3 3 2 6" xfId="11165" xr:uid="{9057D34D-18FD-41D4-ADA9-182C0F391012}"/>
    <cellStyle name="Normal 8 2 3 3 3" xfId="3041" xr:uid="{48B1613B-DBC1-42B1-9E67-9CE31B01FE7C}"/>
    <cellStyle name="Normal 8 2 3 3 3 2" xfId="5270" xr:uid="{EDF9418F-3230-4C5C-9E60-2AA48C411C83}"/>
    <cellStyle name="Normal 8 2 3 3 3 2 2" xfId="9488" xr:uid="{079D7332-D5FF-40B3-944E-83C1F67771D8}"/>
    <cellStyle name="Normal 8 2 3 3 3 3" xfId="7343" xr:uid="{A176D377-BE26-4F25-A06B-68FB7DB18C73}"/>
    <cellStyle name="Normal 8 2 3 3 4" xfId="3454" xr:uid="{0C5F8488-FBBE-4D71-A1E4-7C7735A26371}"/>
    <cellStyle name="Normal 8 2 3 3 4 2" xfId="5683" xr:uid="{8338C7CF-15CB-4BB9-BB32-15534E792CC3}"/>
    <cellStyle name="Normal 8 2 3 3 4 2 2" xfId="9901" xr:uid="{0B499142-698F-4922-B4A1-98B7911BAC70}"/>
    <cellStyle name="Normal 8 2 3 3 4 3" xfId="7756" xr:uid="{348F2AC9-91F4-4207-A636-1FD7757325CC}"/>
    <cellStyle name="Normal 8 2 3 3 5" xfId="3867" xr:uid="{C74046D4-E9C9-4187-9AF2-E7FB52577352}"/>
    <cellStyle name="Normal 8 2 3 3 5 2" xfId="6096" xr:uid="{9C2C9E20-493F-42A0-83E6-8940B686A27B}"/>
    <cellStyle name="Normal 8 2 3 3 5 2 2" xfId="10314" xr:uid="{988C55BE-CC77-4A0C-B0C7-3C7108015EF8}"/>
    <cellStyle name="Normal 8 2 3 3 5 3" xfId="8169" xr:uid="{8E9BA4B4-203B-4F1C-BA2D-642A48DD85A3}"/>
    <cellStyle name="Normal 8 2 3 3 6" xfId="4303" xr:uid="{FB230224-49AC-4704-91A5-790B1491011B}"/>
    <cellStyle name="Normal 8 2 3 3 6 2" xfId="8582" xr:uid="{4794FC98-F411-4CDD-893E-45A8D22E7250}"/>
    <cellStyle name="Normal 8 2 3 3 7" xfId="6517" xr:uid="{22FB97B7-7839-42BA-A7A1-E2B480ADE1F8}"/>
    <cellStyle name="Normal 8 2 3 3 8" xfId="2213" xr:uid="{7D599569-5806-4387-8410-011665B0F49F}"/>
    <cellStyle name="Normal 8 2 3 3 9" xfId="1383" xr:uid="{B1AACC85-5F06-4EFE-B952-F142FF02FD84}"/>
    <cellStyle name="Normal 8 2 3 4" xfId="963" xr:uid="{00000000-0005-0000-0000-000074030000}"/>
    <cellStyle name="Normal 8 2 3 4 2" xfId="4854" xr:uid="{F7427E8F-7F53-4454-8973-F40355F1524E}"/>
    <cellStyle name="Normal 8 2 3 4 2 2" xfId="9072" xr:uid="{D282D5AC-FD52-421F-8EAC-16C375D29DA9}"/>
    <cellStyle name="Normal 8 2 3 4 3" xfId="6927" xr:uid="{5AE1178E-CF24-4BFF-9C4E-C80E8B006ED1}"/>
    <cellStyle name="Normal 8 2 3 4 4" xfId="2625" xr:uid="{4DC3CB92-74FF-4D97-A8D0-DE319007C4F8}"/>
    <cellStyle name="Normal 8 2 3 4 5" xfId="1796" xr:uid="{AEF6E173-4211-4C59-A0A8-651C737622B4}"/>
    <cellStyle name="Normal 8 2 3 4 6" xfId="11162" xr:uid="{4D67E62C-B2ED-4A8C-888B-2C3F89EAFBEF}"/>
    <cellStyle name="Normal 8 2 3 5" xfId="3038" xr:uid="{3C12590E-20B9-4C1C-AD18-D3D2CDD3E67C}"/>
    <cellStyle name="Normal 8 2 3 5 2" xfId="5267" xr:uid="{0F2326E0-75CF-4AC0-BBDF-FFC9EDD1B100}"/>
    <cellStyle name="Normal 8 2 3 5 2 2" xfId="9485" xr:uid="{9F1B88B9-6E70-4530-AED0-A16C448CBDE2}"/>
    <cellStyle name="Normal 8 2 3 5 3" xfId="7340" xr:uid="{9433F21A-562C-49D7-8816-DCD81ABBD86A}"/>
    <cellStyle name="Normal 8 2 3 6" xfId="3451" xr:uid="{E23EB963-ED3D-4A1D-81C4-61EB713A6380}"/>
    <cellStyle name="Normal 8 2 3 6 2" xfId="5680" xr:uid="{F8A27689-EBD5-40AE-8358-AC3AEE7A7DCD}"/>
    <cellStyle name="Normal 8 2 3 6 2 2" xfId="9898" xr:uid="{2D9DEE82-EF78-497A-A318-C0C8D2140B43}"/>
    <cellStyle name="Normal 8 2 3 6 3" xfId="7753" xr:uid="{CBDEE039-C6C5-4E84-8665-89C817C44EED}"/>
    <cellStyle name="Normal 8 2 3 7" xfId="3864" xr:uid="{36D1BCCF-4D68-4806-94E1-F46BBFAE49FE}"/>
    <cellStyle name="Normal 8 2 3 7 2" xfId="6093" xr:uid="{B2664999-0DD3-4BC1-96B5-442CD29B6AD3}"/>
    <cellStyle name="Normal 8 2 3 7 2 2" xfId="10311" xr:uid="{F71C6B2C-2A59-4A37-A4F9-C3EB057FF4E0}"/>
    <cellStyle name="Normal 8 2 3 7 3" xfId="8166" xr:uid="{E2CA4A73-CA5E-46D1-877A-C0A318934C5F}"/>
    <cellStyle name="Normal 8 2 3 8" xfId="4300" xr:uid="{9CFB1D5E-A197-423D-A4D9-840012EEC7E8}"/>
    <cellStyle name="Normal 8 2 3 8 2" xfId="8579" xr:uid="{032E6756-3938-4F2E-B69A-7B0A7F6AF89A}"/>
    <cellStyle name="Normal 8 2 3 9" xfId="6514" xr:uid="{CCC23744-02E3-4D24-BD44-2F5A749B4B7D}"/>
    <cellStyle name="Normal 8 2 4" xfId="495" xr:uid="{00000000-0005-0000-0000-000075030000}"/>
    <cellStyle name="Normal 8 2 4 10" xfId="1384" xr:uid="{73618A42-0252-4A99-956C-CACEF909A6CA}"/>
    <cellStyle name="Normal 8 2 4 11" xfId="10750" xr:uid="{0168D7C4-B6A1-4903-B06E-A164C1A8F1FA}"/>
    <cellStyle name="Normal 8 2 4 2" xfId="496" xr:uid="{00000000-0005-0000-0000-000076030000}"/>
    <cellStyle name="Normal 8 2 4 2 10" xfId="10751" xr:uid="{C427D4C1-D0A8-494A-AF8F-AE9FFB59A8A5}"/>
    <cellStyle name="Normal 8 2 4 2 2" xfId="968" xr:uid="{00000000-0005-0000-0000-000077030000}"/>
    <cellStyle name="Normal 8 2 4 2 2 2" xfId="4859" xr:uid="{12B1B458-125A-45AF-87E5-98793179268A}"/>
    <cellStyle name="Normal 8 2 4 2 2 2 2" xfId="9077" xr:uid="{C850E989-51F6-44A9-AD6D-9CF8B7752F4F}"/>
    <cellStyle name="Normal 8 2 4 2 2 3" xfId="6932" xr:uid="{F12F0FED-3087-41E0-BCD4-D0272699D6FD}"/>
    <cellStyle name="Normal 8 2 4 2 2 4" xfId="2630" xr:uid="{2E2533FD-E15F-49A6-8F67-C62DEF7ED499}"/>
    <cellStyle name="Normal 8 2 4 2 2 5" xfId="1801" xr:uid="{C8083354-3946-434A-9DF8-23D7C24B7199}"/>
    <cellStyle name="Normal 8 2 4 2 2 6" xfId="11167" xr:uid="{2186BE44-8674-4FA4-B9B8-D09E831EA09A}"/>
    <cellStyle name="Normal 8 2 4 2 3" xfId="3043" xr:uid="{6DD89BEC-972E-424B-92B2-38A3C68BFB5A}"/>
    <cellStyle name="Normal 8 2 4 2 3 2" xfId="5272" xr:uid="{27C568B3-A762-4EE6-A235-DADC81354ED1}"/>
    <cellStyle name="Normal 8 2 4 2 3 2 2" xfId="9490" xr:uid="{353B67C1-DE0D-4D0C-951F-1567BB200B2E}"/>
    <cellStyle name="Normal 8 2 4 2 3 3" xfId="7345" xr:uid="{13BDCB5E-43DA-422C-A166-2489348E3C63}"/>
    <cellStyle name="Normal 8 2 4 2 4" xfId="3456" xr:uid="{03D29222-84A1-4A87-8E7A-F2DBA95428E0}"/>
    <cellStyle name="Normal 8 2 4 2 4 2" xfId="5685" xr:uid="{E2BED580-9EB2-4F81-A82F-5F3886E39D1D}"/>
    <cellStyle name="Normal 8 2 4 2 4 2 2" xfId="9903" xr:uid="{417F1E6C-4E8D-4231-AD9C-D28B2022B42D}"/>
    <cellStyle name="Normal 8 2 4 2 4 3" xfId="7758" xr:uid="{E705C4AA-EA26-4D56-A6DE-CC8FB3FB6D2F}"/>
    <cellStyle name="Normal 8 2 4 2 5" xfId="3869" xr:uid="{D6AFBB0B-C47E-45C9-BF64-04A52215B905}"/>
    <cellStyle name="Normal 8 2 4 2 5 2" xfId="6098" xr:uid="{34A82960-CCB7-4094-A342-D02B86C64F32}"/>
    <cellStyle name="Normal 8 2 4 2 5 2 2" xfId="10316" xr:uid="{EAC5D75C-B6EC-410D-A550-6EDA936984F1}"/>
    <cellStyle name="Normal 8 2 4 2 5 3" xfId="8171" xr:uid="{CA9DD398-184B-4136-A835-D8F69D517A95}"/>
    <cellStyle name="Normal 8 2 4 2 6" xfId="4305" xr:uid="{5690CC76-FD6C-4A1A-85D2-01028DED0D43}"/>
    <cellStyle name="Normal 8 2 4 2 6 2" xfId="8584" xr:uid="{AB501402-75C7-439A-9977-C54E8F357CB8}"/>
    <cellStyle name="Normal 8 2 4 2 7" xfId="6519" xr:uid="{5679B031-EDFC-4E2D-9729-7CE51E6F1327}"/>
    <cellStyle name="Normal 8 2 4 2 8" xfId="2215" xr:uid="{C9231ABB-A979-44C0-B9F4-48D92E19B0F7}"/>
    <cellStyle name="Normal 8 2 4 2 9" xfId="1385" xr:uid="{CF60B784-1090-4312-B0D6-4FB2356FB9DA}"/>
    <cellStyle name="Normal 8 2 4 3" xfId="967" xr:uid="{00000000-0005-0000-0000-000078030000}"/>
    <cellStyle name="Normal 8 2 4 3 2" xfId="4858" xr:uid="{406901BB-3C2B-429C-AB4A-85437BCB9A22}"/>
    <cellStyle name="Normal 8 2 4 3 2 2" xfId="9076" xr:uid="{98FD8BDF-D02F-4154-AE2E-6B7EF7876B37}"/>
    <cellStyle name="Normal 8 2 4 3 3" xfId="6931" xr:uid="{30DAA3D1-327F-432E-969C-8CC43A2236FD}"/>
    <cellStyle name="Normal 8 2 4 3 4" xfId="2629" xr:uid="{7FD5539F-90DC-4202-A155-11948C12325B}"/>
    <cellStyle name="Normal 8 2 4 3 5" xfId="1800" xr:uid="{5558EF60-8E4C-43A2-B293-C532F8B98BF5}"/>
    <cellStyle name="Normal 8 2 4 3 6" xfId="11166" xr:uid="{DE1CA7F0-327E-4A29-BE40-734B3291CCDC}"/>
    <cellStyle name="Normal 8 2 4 4" xfId="3042" xr:uid="{351FF038-3DEE-437E-8EBA-4E8E6A54E46F}"/>
    <cellStyle name="Normal 8 2 4 4 2" xfId="5271" xr:uid="{0FBB0DDE-E080-4C0F-B475-2E40FE773CE7}"/>
    <cellStyle name="Normal 8 2 4 4 2 2" xfId="9489" xr:uid="{EC7246E6-A865-4393-9F65-09CBF5D09E9B}"/>
    <cellStyle name="Normal 8 2 4 4 3" xfId="7344" xr:uid="{6CBE129E-E3AC-4983-83FB-068FBF9805F6}"/>
    <cellStyle name="Normal 8 2 4 5" xfId="3455" xr:uid="{409DFDEE-292E-41FD-8849-69AE160EDB4E}"/>
    <cellStyle name="Normal 8 2 4 5 2" xfId="5684" xr:uid="{6B4404DB-0C82-4419-9601-9F51573C0907}"/>
    <cellStyle name="Normal 8 2 4 5 2 2" xfId="9902" xr:uid="{CE42AA4A-48E8-4D0B-A13E-9A79F7A16B85}"/>
    <cellStyle name="Normal 8 2 4 5 3" xfId="7757" xr:uid="{C7E4916C-DD70-42FE-8465-7AB14B3BD965}"/>
    <cellStyle name="Normal 8 2 4 6" xfId="3868" xr:uid="{D21DB747-0EE6-484A-9A33-C9964CC84856}"/>
    <cellStyle name="Normal 8 2 4 6 2" xfId="6097" xr:uid="{2B018DB1-D8C7-4BD4-B227-8687B7C55A67}"/>
    <cellStyle name="Normal 8 2 4 6 2 2" xfId="10315" xr:uid="{A91BD0A3-2FC6-416B-84A5-8ADFFCCA4432}"/>
    <cellStyle name="Normal 8 2 4 6 3" xfId="8170" xr:uid="{B591E7F7-A6FC-4B78-A7DF-2DBB86F59DA5}"/>
    <cellStyle name="Normal 8 2 4 7" xfId="4304" xr:uid="{804B7DED-B65D-461E-BA7E-CCC6A9844948}"/>
    <cellStyle name="Normal 8 2 4 7 2" xfId="8583" xr:uid="{48B4DE2A-30FD-4BFD-8412-609B278FF00D}"/>
    <cellStyle name="Normal 8 2 4 8" xfId="6518" xr:uid="{E3EEE83F-80AF-473C-98BA-9F47AC78F927}"/>
    <cellStyle name="Normal 8 2 4 9" xfId="2214" xr:uid="{6C83C2A5-AAB6-4F65-8359-5EBC46C29042}"/>
    <cellStyle name="Normal 8 2 5" xfId="497" xr:uid="{00000000-0005-0000-0000-000079030000}"/>
    <cellStyle name="Normal 8 2 5 10" xfId="10752" xr:uid="{78F03124-D954-4BA1-A96F-348BA472A623}"/>
    <cellStyle name="Normal 8 2 5 2" xfId="969" xr:uid="{00000000-0005-0000-0000-00007A030000}"/>
    <cellStyle name="Normal 8 2 5 2 2" xfId="4860" xr:uid="{2C5B0403-2B60-4DF3-A1AF-15EFF954059F}"/>
    <cellStyle name="Normal 8 2 5 2 2 2" xfId="9078" xr:uid="{AEDD2213-5DF9-4052-BDC7-C98A3128B22A}"/>
    <cellStyle name="Normal 8 2 5 2 3" xfId="6933" xr:uid="{F7139B52-1032-426B-8870-68DDD5A5ED52}"/>
    <cellStyle name="Normal 8 2 5 2 4" xfId="2631" xr:uid="{0594841F-0A41-4150-9D81-B5AC3F06B1FE}"/>
    <cellStyle name="Normal 8 2 5 2 5" xfId="1802" xr:uid="{D19D9F7C-FA39-464B-BEF1-9993332792DB}"/>
    <cellStyle name="Normal 8 2 5 2 6" xfId="11168" xr:uid="{7F4E8FB4-8535-4E58-A608-F4CEB084F4BA}"/>
    <cellStyle name="Normal 8 2 5 3" xfId="3044" xr:uid="{E4BD835F-47D1-47A2-8AAD-60A2DF2DC754}"/>
    <cellStyle name="Normal 8 2 5 3 2" xfId="5273" xr:uid="{8BE10B89-9955-4A60-90D1-A41E74F940DA}"/>
    <cellStyle name="Normal 8 2 5 3 2 2" xfId="9491" xr:uid="{6AA633BF-9A7E-48A9-AE92-279F86276827}"/>
    <cellStyle name="Normal 8 2 5 3 3" xfId="7346" xr:uid="{8FFF5780-E698-4B33-981B-52D0CF1BE13C}"/>
    <cellStyle name="Normal 8 2 5 4" xfId="3457" xr:uid="{39087220-C7F7-48B2-92FF-02C4369D4852}"/>
    <cellStyle name="Normal 8 2 5 4 2" xfId="5686" xr:uid="{2E11AEF9-4657-47FF-965A-B6F2283A51C4}"/>
    <cellStyle name="Normal 8 2 5 4 2 2" xfId="9904" xr:uid="{5F57100A-25F0-44D7-B863-1541DDD87684}"/>
    <cellStyle name="Normal 8 2 5 4 3" xfId="7759" xr:uid="{75481B94-FAAB-4FF8-9065-ED67EAE73735}"/>
    <cellStyle name="Normal 8 2 5 5" xfId="3870" xr:uid="{28B58AE0-9F84-4C41-9ABF-FBB215A82726}"/>
    <cellStyle name="Normal 8 2 5 5 2" xfId="6099" xr:uid="{9FCE3AAA-F396-436A-B2BC-A6CE59246B03}"/>
    <cellStyle name="Normal 8 2 5 5 2 2" xfId="10317" xr:uid="{393A2D1A-3475-4CEE-BAEE-322D599293A8}"/>
    <cellStyle name="Normal 8 2 5 5 3" xfId="8172" xr:uid="{B72F3027-E77D-4649-8700-F0ECB446DC4A}"/>
    <cellStyle name="Normal 8 2 5 6" xfId="4306" xr:uid="{BF1D0777-C0AF-4E85-BD8A-33A6A85CBA24}"/>
    <cellStyle name="Normal 8 2 5 6 2" xfId="8585" xr:uid="{ABD4C01E-72C1-477B-AFA7-D86601791F17}"/>
    <cellStyle name="Normal 8 2 5 7" xfId="6520" xr:uid="{21D9465D-3D10-4732-A8C4-C6A2B276DE25}"/>
    <cellStyle name="Normal 8 2 5 8" xfId="2216" xr:uid="{180B3C72-0805-4EFC-9B61-737574D33252}"/>
    <cellStyle name="Normal 8 2 5 9" xfId="1386" xr:uid="{AB3CF0B5-BA51-4495-9E51-85FC70C385AD}"/>
    <cellStyle name="Normal 8 2 6" xfId="954" xr:uid="{00000000-0005-0000-0000-00007B030000}"/>
    <cellStyle name="Normal 8 2 6 2" xfId="4845" xr:uid="{3C9E17E0-1BB8-4E3E-A3D2-8AB1209153E6}"/>
    <cellStyle name="Normal 8 2 6 2 2" xfId="9063" xr:uid="{EE169B14-1355-43FE-93D7-76D1AA6F4092}"/>
    <cellStyle name="Normal 8 2 6 3" xfId="6918" xr:uid="{BB6F9D3E-F5B3-4F00-9FEF-6DB2506F0AA0}"/>
    <cellStyle name="Normal 8 2 6 4" xfId="2616" xr:uid="{E7418D82-71EB-4565-81DF-D9A26FE83C1E}"/>
    <cellStyle name="Normal 8 2 6 5" xfId="1787" xr:uid="{FDD337F5-D26A-4152-8C25-DC357BEE91BA}"/>
    <cellStyle name="Normal 8 2 6 6" xfId="11153" xr:uid="{6B4C9795-A28C-4F77-BE74-CA3E0845592A}"/>
    <cellStyle name="Normal 8 2 7" xfId="3029" xr:uid="{C9E9B96A-8D8E-481B-88D6-FDD524E6CFEA}"/>
    <cellStyle name="Normal 8 2 7 2" xfId="5258" xr:uid="{D9FD4E16-2AE8-4A3F-8BB6-88E2A432A62E}"/>
    <cellStyle name="Normal 8 2 7 2 2" xfId="9476" xr:uid="{78D0665F-DA4D-4C1D-8462-2BCBE2A19CD5}"/>
    <cellStyle name="Normal 8 2 7 3" xfId="7331" xr:uid="{8D202BE4-8132-44FD-8961-04A49CFDEBD8}"/>
    <cellStyle name="Normal 8 2 8" xfId="3442" xr:uid="{99194732-A56F-4529-B6A2-E83CE06D8BC1}"/>
    <cellStyle name="Normal 8 2 8 2" xfId="5671" xr:uid="{3BA674B5-10AF-45A6-BD18-377B692CC5D7}"/>
    <cellStyle name="Normal 8 2 8 2 2" xfId="9889" xr:uid="{3B726E14-811E-4623-B585-A720CB9A660C}"/>
    <cellStyle name="Normal 8 2 8 3" xfId="7744" xr:uid="{1D6861DF-C06E-4FFF-8A83-920D6D8468BD}"/>
    <cellStyle name="Normal 8 2 9" xfId="3855" xr:uid="{40A65409-86DB-4586-B19C-32BBB702CA0B}"/>
    <cellStyle name="Normal 8 2 9 2" xfId="6084" xr:uid="{9ACF6A72-9B4B-49D0-B6BD-57A54C6F3143}"/>
    <cellStyle name="Normal 8 2 9 2 2" xfId="10302" xr:uid="{DE883F23-1C3D-4926-89E7-DC0C288E6B2C}"/>
    <cellStyle name="Normal 8 2 9 3" xfId="8157" xr:uid="{DAF780B3-F96D-4E11-9B73-3AD9163302D5}"/>
    <cellStyle name="Normal 8 3" xfId="498" xr:uid="{00000000-0005-0000-0000-00007C030000}"/>
    <cellStyle name="Normal 8 3 10" xfId="6521" xr:uid="{45D63CBE-CFD3-4C4A-AE12-CBFAB9C98738}"/>
    <cellStyle name="Normal 8 3 11" xfId="2217" xr:uid="{2E0801C6-B168-4058-9A2F-657D33D917FC}"/>
    <cellStyle name="Normal 8 3 12" xfId="1387" xr:uid="{E9D1DC1E-DB20-445D-A54D-95998EDB7D91}"/>
    <cellStyle name="Normal 8 3 13" xfId="10753" xr:uid="{E533E290-941B-4610-B411-C7BB2693E824}"/>
    <cellStyle name="Normal 8 3 2" xfId="499" xr:uid="{00000000-0005-0000-0000-00007D030000}"/>
    <cellStyle name="Normal 8 3 2 10" xfId="2218" xr:uid="{560263BC-88D5-43E2-BB48-535B4382C36F}"/>
    <cellStyle name="Normal 8 3 2 11" xfId="1388" xr:uid="{4E94ACBC-2D0C-4986-9BEA-7AC5EA26C363}"/>
    <cellStyle name="Normal 8 3 2 12" xfId="10754" xr:uid="{7FF4BC08-C6B1-46F5-8621-11C9E9C56B8F}"/>
    <cellStyle name="Normal 8 3 2 2" xfId="500" xr:uid="{00000000-0005-0000-0000-00007E030000}"/>
    <cellStyle name="Normal 8 3 2 2 10" xfId="1389" xr:uid="{8956DA57-107F-45CE-AFA3-B4E4C61EA1AB}"/>
    <cellStyle name="Normal 8 3 2 2 11" xfId="10755" xr:uid="{5663C037-739B-4FDF-AD57-BB4D5F501088}"/>
    <cellStyle name="Normal 8 3 2 2 2" xfId="501" xr:uid="{00000000-0005-0000-0000-00007F030000}"/>
    <cellStyle name="Normal 8 3 2 2 2 10" xfId="10756" xr:uid="{8597C913-1A8F-433D-94CE-2BE4946B665E}"/>
    <cellStyle name="Normal 8 3 2 2 2 2" xfId="973" xr:uid="{00000000-0005-0000-0000-000080030000}"/>
    <cellStyle name="Normal 8 3 2 2 2 2 2" xfId="4864" xr:uid="{44187E67-ED29-4488-8173-7FD4922B845D}"/>
    <cellStyle name="Normal 8 3 2 2 2 2 2 2" xfId="9082" xr:uid="{ED4EEBE2-2630-4351-9CCD-0BBA0F3B26C1}"/>
    <cellStyle name="Normal 8 3 2 2 2 2 3" xfId="6937" xr:uid="{76FB1886-A080-4CE3-8495-0A4C4783C930}"/>
    <cellStyle name="Normal 8 3 2 2 2 2 4" xfId="2635" xr:uid="{548F5226-875A-4BB5-B561-77B442D336AA}"/>
    <cellStyle name="Normal 8 3 2 2 2 2 5" xfId="1806" xr:uid="{AC31CD03-CD06-4F88-B4D1-139E2F4A03CE}"/>
    <cellStyle name="Normal 8 3 2 2 2 2 6" xfId="11172" xr:uid="{890B0151-086D-49BB-B9E2-E661D308D50D}"/>
    <cellStyle name="Normal 8 3 2 2 2 3" xfId="3048" xr:uid="{B038622C-BA43-489A-A0E1-464F61730313}"/>
    <cellStyle name="Normal 8 3 2 2 2 3 2" xfId="5277" xr:uid="{1ABE2C20-2875-4F2E-B64F-3A26CCC811EC}"/>
    <cellStyle name="Normal 8 3 2 2 2 3 2 2" xfId="9495" xr:uid="{B59CCE9F-3270-4457-970D-B7EF96AE4C62}"/>
    <cellStyle name="Normal 8 3 2 2 2 3 3" xfId="7350" xr:uid="{5786361C-EEE4-4FE2-B9A3-530E27CF6E4D}"/>
    <cellStyle name="Normal 8 3 2 2 2 4" xfId="3461" xr:uid="{AB55D427-9BA2-42D0-8EF5-5078BA5FCD7F}"/>
    <cellStyle name="Normal 8 3 2 2 2 4 2" xfId="5690" xr:uid="{04F4823E-41EE-4CC2-AC1E-15D80E86699D}"/>
    <cellStyle name="Normal 8 3 2 2 2 4 2 2" xfId="9908" xr:uid="{C00887BC-9A7E-45FF-9589-08E56009650A}"/>
    <cellStyle name="Normal 8 3 2 2 2 4 3" xfId="7763" xr:uid="{DD7DD9E8-F86A-43A0-81E9-0DD8A9B11B1F}"/>
    <cellStyle name="Normal 8 3 2 2 2 5" xfId="3874" xr:uid="{AF20C54E-1A3B-4BBB-BD4F-6EB50FEB6149}"/>
    <cellStyle name="Normal 8 3 2 2 2 5 2" xfId="6103" xr:uid="{10E93D09-F84F-45C0-AE5D-C2379D041456}"/>
    <cellStyle name="Normal 8 3 2 2 2 5 2 2" xfId="10321" xr:uid="{6441CA53-3A26-406A-8BEC-88E4D54EE6AD}"/>
    <cellStyle name="Normal 8 3 2 2 2 5 3" xfId="8176" xr:uid="{8707726F-16D9-454C-B6E7-A6BFA19FE64E}"/>
    <cellStyle name="Normal 8 3 2 2 2 6" xfId="4310" xr:uid="{68CAD8D6-45F8-4256-B16B-37CAB6D8160B}"/>
    <cellStyle name="Normal 8 3 2 2 2 6 2" xfId="8589" xr:uid="{172ADAD2-0C8E-4540-B9C3-55BF6BDD8834}"/>
    <cellStyle name="Normal 8 3 2 2 2 7" xfId="6524" xr:uid="{B9091E13-8B4D-44C6-A546-B80DFBDF35B1}"/>
    <cellStyle name="Normal 8 3 2 2 2 8" xfId="2220" xr:uid="{3A1A5A64-E4C3-489C-95CD-749197C49731}"/>
    <cellStyle name="Normal 8 3 2 2 2 9" xfId="1390" xr:uid="{21840A27-B8B3-4AA5-8DD7-37C273EC49FA}"/>
    <cellStyle name="Normal 8 3 2 2 3" xfId="972" xr:uid="{00000000-0005-0000-0000-000081030000}"/>
    <cellStyle name="Normal 8 3 2 2 3 2" xfId="4863" xr:uid="{EEAFD96A-673B-457E-9C4E-828E07521FA5}"/>
    <cellStyle name="Normal 8 3 2 2 3 2 2" xfId="9081" xr:uid="{D983BE3F-BB32-486A-AA3F-EB00CDF0D07F}"/>
    <cellStyle name="Normal 8 3 2 2 3 3" xfId="6936" xr:uid="{C1ED6F49-C3F8-4E15-B88B-0E683A3DEB23}"/>
    <cellStyle name="Normal 8 3 2 2 3 4" xfId="2634" xr:uid="{FEEEC6BB-156C-46B5-8432-6DFD78AE3B7A}"/>
    <cellStyle name="Normal 8 3 2 2 3 5" xfId="1805" xr:uid="{7F7496BB-4A5F-4A71-8778-046E84472D56}"/>
    <cellStyle name="Normal 8 3 2 2 3 6" xfId="11171" xr:uid="{AD0A61D6-AC95-405E-9723-74444EB4D90D}"/>
    <cellStyle name="Normal 8 3 2 2 4" xfId="3047" xr:uid="{DE7E821D-0704-4A8E-8048-22AE5DDA2CEC}"/>
    <cellStyle name="Normal 8 3 2 2 4 2" xfId="5276" xr:uid="{ED128503-5030-4EAF-8C62-70E1275924BF}"/>
    <cellStyle name="Normal 8 3 2 2 4 2 2" xfId="9494" xr:uid="{0D47E00E-6658-4202-8963-76B5661B76DD}"/>
    <cellStyle name="Normal 8 3 2 2 4 3" xfId="7349" xr:uid="{90832D6D-1818-46EE-9DF6-2EC2B155E19D}"/>
    <cellStyle name="Normal 8 3 2 2 5" xfId="3460" xr:uid="{3560B87F-E467-469D-8F71-014E6642012D}"/>
    <cellStyle name="Normal 8 3 2 2 5 2" xfId="5689" xr:uid="{B988AE79-F9E1-4F15-A1A3-6F030B4D87AD}"/>
    <cellStyle name="Normal 8 3 2 2 5 2 2" xfId="9907" xr:uid="{AAAD90F0-2C43-4AB2-BFE7-5247557A3CB3}"/>
    <cellStyle name="Normal 8 3 2 2 5 3" xfId="7762" xr:uid="{A413DED4-47DA-437C-BB9C-1775A816781B}"/>
    <cellStyle name="Normal 8 3 2 2 6" xfId="3873" xr:uid="{222BAA77-C92F-44C4-9BE7-CEFA4211A092}"/>
    <cellStyle name="Normal 8 3 2 2 6 2" xfId="6102" xr:uid="{73F7BCD8-0C91-4C73-8027-B66C07F678A9}"/>
    <cellStyle name="Normal 8 3 2 2 6 2 2" xfId="10320" xr:uid="{DA7CA544-B595-49C4-8208-15E089D1856A}"/>
    <cellStyle name="Normal 8 3 2 2 6 3" xfId="8175" xr:uid="{3D7FC4E0-79BD-49C9-9A58-93AEA61EFE43}"/>
    <cellStyle name="Normal 8 3 2 2 7" xfId="4309" xr:uid="{9824B02F-2F03-4574-BED6-53A104D7C650}"/>
    <cellStyle name="Normal 8 3 2 2 7 2" xfId="8588" xr:uid="{3E46195E-4A81-4CE6-BF49-10B3B23619FF}"/>
    <cellStyle name="Normal 8 3 2 2 8" xfId="6523" xr:uid="{DD19E4A2-9C47-477A-BCB5-CEBBFBC6862B}"/>
    <cellStyle name="Normal 8 3 2 2 9" xfId="2219" xr:uid="{FE047623-267D-417C-873C-17EE3A3C3757}"/>
    <cellStyle name="Normal 8 3 2 3" xfId="502" xr:uid="{00000000-0005-0000-0000-000082030000}"/>
    <cellStyle name="Normal 8 3 2 3 10" xfId="10757" xr:uid="{EC2998C7-DAE2-45CA-A000-39D6C0FBC09A}"/>
    <cellStyle name="Normal 8 3 2 3 2" xfId="974" xr:uid="{00000000-0005-0000-0000-000083030000}"/>
    <cellStyle name="Normal 8 3 2 3 2 2" xfId="4865" xr:uid="{12B42DE8-1D3D-4E94-A4A3-13AEEBAEA58E}"/>
    <cellStyle name="Normal 8 3 2 3 2 2 2" xfId="9083" xr:uid="{B9ACC77F-18F0-4E6E-896A-C86C7EE0F920}"/>
    <cellStyle name="Normal 8 3 2 3 2 3" xfId="6938" xr:uid="{C7FBAE95-4100-4C1B-BBF6-6BAF12F22C0E}"/>
    <cellStyle name="Normal 8 3 2 3 2 4" xfId="2636" xr:uid="{6F7873B1-49C7-4B53-B0D9-779E1E4BCE8C}"/>
    <cellStyle name="Normal 8 3 2 3 2 5" xfId="1807" xr:uid="{909698C1-9C4E-48C4-8DCB-D4B4BB2C0AFF}"/>
    <cellStyle name="Normal 8 3 2 3 2 6" xfId="11173" xr:uid="{6A6CFD22-7CB3-4615-83C0-93A40ECB2C86}"/>
    <cellStyle name="Normal 8 3 2 3 3" xfId="3049" xr:uid="{2DBCD0EF-A2EE-4B6D-A43F-084FBE15877D}"/>
    <cellStyle name="Normal 8 3 2 3 3 2" xfId="5278" xr:uid="{AFA2627F-25C1-4E4D-B6E4-ABD808AB7C2F}"/>
    <cellStyle name="Normal 8 3 2 3 3 2 2" xfId="9496" xr:uid="{EE0A6B54-B6D3-48F3-A150-B3931C7FA557}"/>
    <cellStyle name="Normal 8 3 2 3 3 3" xfId="7351" xr:uid="{6E9E4199-F2DB-447D-B9A4-813E7D98A111}"/>
    <cellStyle name="Normal 8 3 2 3 4" xfId="3462" xr:uid="{8905920D-B366-40CF-A25D-CB9BEF80EC7A}"/>
    <cellStyle name="Normal 8 3 2 3 4 2" xfId="5691" xr:uid="{A7D70C71-F2D2-4BC6-ABD3-DDC8485B2002}"/>
    <cellStyle name="Normal 8 3 2 3 4 2 2" xfId="9909" xr:uid="{9B33A48A-260F-4465-AB8B-C02CE3C00683}"/>
    <cellStyle name="Normal 8 3 2 3 4 3" xfId="7764" xr:uid="{AEB3EEAF-A748-492C-9342-50068EB650C8}"/>
    <cellStyle name="Normal 8 3 2 3 5" xfId="3875" xr:uid="{D7E22CCD-8885-4A48-9CD2-E3B59A33D146}"/>
    <cellStyle name="Normal 8 3 2 3 5 2" xfId="6104" xr:uid="{E96E2D05-2AFD-40BE-B79D-6970AA7A025A}"/>
    <cellStyle name="Normal 8 3 2 3 5 2 2" xfId="10322" xr:uid="{58002CB0-5770-4240-AA04-B3EE166C83D1}"/>
    <cellStyle name="Normal 8 3 2 3 5 3" xfId="8177" xr:uid="{F70DF550-42E6-4607-A31B-4D7B72E8BA3F}"/>
    <cellStyle name="Normal 8 3 2 3 6" xfId="4311" xr:uid="{1835822F-3652-4C97-A09A-94F0B829F3A4}"/>
    <cellStyle name="Normal 8 3 2 3 6 2" xfId="8590" xr:uid="{42F471D9-7C24-457B-AF2D-1EF6E9C03146}"/>
    <cellStyle name="Normal 8 3 2 3 7" xfId="6525" xr:uid="{C9B6DCC9-2482-4963-9AFD-B277D03C676C}"/>
    <cellStyle name="Normal 8 3 2 3 8" xfId="2221" xr:uid="{E9B4E1DC-3828-42BF-A867-B720D465007A}"/>
    <cellStyle name="Normal 8 3 2 3 9" xfId="1391" xr:uid="{C711A124-C50A-4C1F-AC00-BC7030050761}"/>
    <cellStyle name="Normal 8 3 2 4" xfId="971" xr:uid="{00000000-0005-0000-0000-000084030000}"/>
    <cellStyle name="Normal 8 3 2 4 2" xfId="4862" xr:uid="{1BC1866D-E43F-49FE-A7AB-8841981C810A}"/>
    <cellStyle name="Normal 8 3 2 4 2 2" xfId="9080" xr:uid="{E9BFD200-3BFD-4E62-9E16-E8B37EA2DC5D}"/>
    <cellStyle name="Normal 8 3 2 4 3" xfId="6935" xr:uid="{0E8DA4F8-1B72-4FBB-8999-5EE75DD79E14}"/>
    <cellStyle name="Normal 8 3 2 4 4" xfId="2633" xr:uid="{3C9CE583-8AB5-4413-A8B6-27B55056D0FA}"/>
    <cellStyle name="Normal 8 3 2 4 5" xfId="1804" xr:uid="{DFC8ECA5-3C04-493E-9B65-D0124AE9DCC7}"/>
    <cellStyle name="Normal 8 3 2 4 6" xfId="11170" xr:uid="{A8359C61-AFE9-4654-8A39-6F554E6B19F1}"/>
    <cellStyle name="Normal 8 3 2 5" xfId="3046" xr:uid="{49B1548A-2525-49C3-B309-0BF1826DBD37}"/>
    <cellStyle name="Normal 8 3 2 5 2" xfId="5275" xr:uid="{868BCF37-D484-45F4-9D22-AC912608969A}"/>
    <cellStyle name="Normal 8 3 2 5 2 2" xfId="9493" xr:uid="{2AAF4C78-333A-4920-ADFC-0C3EF2E7BD8B}"/>
    <cellStyle name="Normal 8 3 2 5 3" xfId="7348" xr:uid="{E30A4225-102A-4D21-8CB5-71F6A238DBC9}"/>
    <cellStyle name="Normal 8 3 2 6" xfId="3459" xr:uid="{31AE7CF0-7408-40CF-A46F-902A56DB090B}"/>
    <cellStyle name="Normal 8 3 2 6 2" xfId="5688" xr:uid="{4336A84E-B665-4F87-8CDD-3128D2BB9E10}"/>
    <cellStyle name="Normal 8 3 2 6 2 2" xfId="9906" xr:uid="{A466A39C-B22A-4D06-9271-1C1A834E3D06}"/>
    <cellStyle name="Normal 8 3 2 6 3" xfId="7761" xr:uid="{A4E0F587-C21F-44D2-BE28-AEA4D1415380}"/>
    <cellStyle name="Normal 8 3 2 7" xfId="3872" xr:uid="{0ED88EA7-436A-4D40-982B-06730E0B7563}"/>
    <cellStyle name="Normal 8 3 2 7 2" xfId="6101" xr:uid="{0290DE91-DB86-40C5-930B-2E5CCFD5DCA7}"/>
    <cellStyle name="Normal 8 3 2 7 2 2" xfId="10319" xr:uid="{ADD34958-3A1F-484D-BEB6-C908FD17B6D2}"/>
    <cellStyle name="Normal 8 3 2 7 3" xfId="8174" xr:uid="{06FD3A24-0B54-4D02-B691-7FAD89245E5C}"/>
    <cellStyle name="Normal 8 3 2 8" xfId="4308" xr:uid="{86062AEE-1A4B-4433-8752-2AE910D8B55C}"/>
    <cellStyle name="Normal 8 3 2 8 2" xfId="8587" xr:uid="{3977D76E-0B3E-4BE4-8A25-CD705E2651FC}"/>
    <cellStyle name="Normal 8 3 2 9" xfId="6522" xr:uid="{FBE58E96-ADB3-4412-BDD0-15E8C692FED9}"/>
    <cellStyle name="Normal 8 3 3" xfId="503" xr:uid="{00000000-0005-0000-0000-000085030000}"/>
    <cellStyle name="Normal 8 3 3 10" xfId="1392" xr:uid="{CC257EDD-05AC-480E-A25C-569A4D424AC6}"/>
    <cellStyle name="Normal 8 3 3 11" xfId="10758" xr:uid="{9460183A-A65A-49B9-A58C-06A116E49312}"/>
    <cellStyle name="Normal 8 3 3 2" xfId="504" xr:uid="{00000000-0005-0000-0000-000086030000}"/>
    <cellStyle name="Normal 8 3 3 2 10" xfId="10759" xr:uid="{D9F36B4A-3C21-4F2D-BF82-3A359D1D0770}"/>
    <cellStyle name="Normal 8 3 3 2 2" xfId="976" xr:uid="{00000000-0005-0000-0000-000087030000}"/>
    <cellStyle name="Normal 8 3 3 2 2 2" xfId="4867" xr:uid="{BE1744B9-F46F-4740-8221-6AC9DC19324F}"/>
    <cellStyle name="Normal 8 3 3 2 2 2 2" xfId="9085" xr:uid="{BD480CF8-144E-4D75-B748-34995B26B790}"/>
    <cellStyle name="Normal 8 3 3 2 2 3" xfId="6940" xr:uid="{7BA6D749-4257-4FA9-9812-0DF694117516}"/>
    <cellStyle name="Normal 8 3 3 2 2 4" xfId="2638" xr:uid="{0784D7ED-16F9-404C-BC9F-32BB920ECA14}"/>
    <cellStyle name="Normal 8 3 3 2 2 5" xfId="1809" xr:uid="{D0F41D83-A7FB-4FC8-BF88-74B1E762BFEA}"/>
    <cellStyle name="Normal 8 3 3 2 2 6" xfId="11175" xr:uid="{3BF2F189-0D4D-4841-BD5F-14866E9615E9}"/>
    <cellStyle name="Normal 8 3 3 2 3" xfId="3051" xr:uid="{CA894E33-9105-422E-9540-25FE996E464D}"/>
    <cellStyle name="Normal 8 3 3 2 3 2" xfId="5280" xr:uid="{8F9F827C-47EA-49A0-9A5A-121F498B4850}"/>
    <cellStyle name="Normal 8 3 3 2 3 2 2" xfId="9498" xr:uid="{27CC6707-2B4E-4BA1-AAAF-1DBC88170E3E}"/>
    <cellStyle name="Normal 8 3 3 2 3 3" xfId="7353" xr:uid="{A8AB00BA-3E90-4984-A5F5-E389A8080E3F}"/>
    <cellStyle name="Normal 8 3 3 2 4" xfId="3464" xr:uid="{37D3D3A7-999E-48D4-8551-D59C32A0BB42}"/>
    <cellStyle name="Normal 8 3 3 2 4 2" xfId="5693" xr:uid="{3A22FA9E-7D03-4B4F-8B48-F52E29499A9D}"/>
    <cellStyle name="Normal 8 3 3 2 4 2 2" xfId="9911" xr:uid="{450637C5-ACCB-47B1-B125-DD0B23490337}"/>
    <cellStyle name="Normal 8 3 3 2 4 3" xfId="7766" xr:uid="{B23770B3-B8DF-4E8F-BEEB-D0C9ACA9DCDA}"/>
    <cellStyle name="Normal 8 3 3 2 5" xfId="3877" xr:uid="{3D8931DC-F6F1-4099-BEF2-D4494F48C861}"/>
    <cellStyle name="Normal 8 3 3 2 5 2" xfId="6106" xr:uid="{311F8C1A-83A6-4767-ABFE-31963E99660A}"/>
    <cellStyle name="Normal 8 3 3 2 5 2 2" xfId="10324" xr:uid="{2736E0A8-2B69-440F-B0E0-D6758999B3CD}"/>
    <cellStyle name="Normal 8 3 3 2 5 3" xfId="8179" xr:uid="{6D20131C-11FE-4FE4-9A91-5BC94938F532}"/>
    <cellStyle name="Normal 8 3 3 2 6" xfId="4313" xr:uid="{F35E43AE-6DDB-43DF-A2D3-45C0636B7E40}"/>
    <cellStyle name="Normal 8 3 3 2 6 2" xfId="8592" xr:uid="{A50AC771-6EC2-43B0-BC02-A158FA2C00B3}"/>
    <cellStyle name="Normal 8 3 3 2 7" xfId="6527" xr:uid="{7ADDFA0A-0DA1-4D42-880E-B5550D7D296A}"/>
    <cellStyle name="Normal 8 3 3 2 8" xfId="2223" xr:uid="{97D5A067-B918-4CC8-A134-6119C3BD0053}"/>
    <cellStyle name="Normal 8 3 3 2 9" xfId="1393" xr:uid="{0A9CFC72-C377-4EFB-92D8-4AB92A6A671E}"/>
    <cellStyle name="Normal 8 3 3 3" xfId="975" xr:uid="{00000000-0005-0000-0000-000088030000}"/>
    <cellStyle name="Normal 8 3 3 3 2" xfId="4866" xr:uid="{913F7F9A-395C-45E3-ADE3-7995E932186D}"/>
    <cellStyle name="Normal 8 3 3 3 2 2" xfId="9084" xr:uid="{5E2F57CD-2859-4238-9428-BA5334934E60}"/>
    <cellStyle name="Normal 8 3 3 3 3" xfId="6939" xr:uid="{896F7079-D78F-4ED8-98BA-C9FAD2B6704F}"/>
    <cellStyle name="Normal 8 3 3 3 4" xfId="2637" xr:uid="{C3EDD259-D762-4949-86C8-62B4B56874F1}"/>
    <cellStyle name="Normal 8 3 3 3 5" xfId="1808" xr:uid="{011FA0A7-9CE7-4368-917D-6D02E9C36549}"/>
    <cellStyle name="Normal 8 3 3 3 6" xfId="11174" xr:uid="{49AA2A40-D159-4541-818C-7F43863D2381}"/>
    <cellStyle name="Normal 8 3 3 4" xfId="3050" xr:uid="{E1D7D98C-4C77-4D55-9FC0-92E5A22069F9}"/>
    <cellStyle name="Normal 8 3 3 4 2" xfId="5279" xr:uid="{547863B5-B52F-437B-9390-958960F6A9EA}"/>
    <cellStyle name="Normal 8 3 3 4 2 2" xfId="9497" xr:uid="{A65C1425-2A0A-471B-BADE-AA9A147FED25}"/>
    <cellStyle name="Normal 8 3 3 4 3" xfId="7352" xr:uid="{820906DC-91B5-413F-9122-305D5B3A8C20}"/>
    <cellStyle name="Normal 8 3 3 5" xfId="3463" xr:uid="{377E92FA-A171-49C7-9091-6C8EAA9DE1CB}"/>
    <cellStyle name="Normal 8 3 3 5 2" xfId="5692" xr:uid="{88DAF2C7-B08A-4126-AF4B-193E096FD2B0}"/>
    <cellStyle name="Normal 8 3 3 5 2 2" xfId="9910" xr:uid="{583AB37E-EA4C-48F9-BC6E-9E8DBCE3E5FA}"/>
    <cellStyle name="Normal 8 3 3 5 3" xfId="7765" xr:uid="{71C1D55F-F991-4F22-B3DC-E3F1DA9C207C}"/>
    <cellStyle name="Normal 8 3 3 6" xfId="3876" xr:uid="{E507233E-B4E1-4F62-9905-AA97940685F8}"/>
    <cellStyle name="Normal 8 3 3 6 2" xfId="6105" xr:uid="{0B434EC2-C496-4A8F-AC85-2978E95C2DBB}"/>
    <cellStyle name="Normal 8 3 3 6 2 2" xfId="10323" xr:uid="{94945E2A-47D4-429D-99E6-C949B87349E6}"/>
    <cellStyle name="Normal 8 3 3 6 3" xfId="8178" xr:uid="{EFF7B830-B117-4620-89F3-F4BF0016E8BB}"/>
    <cellStyle name="Normal 8 3 3 7" xfId="4312" xr:uid="{115FE0F4-6114-4F97-85EE-556B2ED22444}"/>
    <cellStyle name="Normal 8 3 3 7 2" xfId="8591" xr:uid="{63CC183D-C13E-4D0A-B8B2-E80912263092}"/>
    <cellStyle name="Normal 8 3 3 8" xfId="6526" xr:uid="{A1AE9D67-94DF-44FC-8ABC-ACFA2B0DD555}"/>
    <cellStyle name="Normal 8 3 3 9" xfId="2222" xr:uid="{C6B67E32-875D-4EAE-B071-67CE71EB671A}"/>
    <cellStyle name="Normal 8 3 4" xfId="505" xr:uid="{00000000-0005-0000-0000-000089030000}"/>
    <cellStyle name="Normal 8 3 4 10" xfId="10760" xr:uid="{44C3EE00-AB0D-4097-B9B1-25DDE3126568}"/>
    <cellStyle name="Normal 8 3 4 2" xfId="977" xr:uid="{00000000-0005-0000-0000-00008A030000}"/>
    <cellStyle name="Normal 8 3 4 2 2" xfId="4868" xr:uid="{A3E22A34-9EA5-454D-B3C0-22CFD4F7693E}"/>
    <cellStyle name="Normal 8 3 4 2 2 2" xfId="9086" xr:uid="{E440E089-B468-4CFE-8B64-D9790A186FFC}"/>
    <cellStyle name="Normal 8 3 4 2 3" xfId="6941" xr:uid="{76A8D786-75CF-43BC-9771-054969E47981}"/>
    <cellStyle name="Normal 8 3 4 2 4" xfId="2639" xr:uid="{FA20E8C0-D727-45DD-BF87-14A704B8B079}"/>
    <cellStyle name="Normal 8 3 4 2 5" xfId="1810" xr:uid="{EEA27BD2-7816-41FB-8041-95BF68DE13C4}"/>
    <cellStyle name="Normal 8 3 4 2 6" xfId="11176" xr:uid="{24C9519D-0541-47C2-98EE-D0E30AB6FE60}"/>
    <cellStyle name="Normal 8 3 4 3" xfId="3052" xr:uid="{68D01A95-1D58-41A8-AEA7-A1FE5645AE7B}"/>
    <cellStyle name="Normal 8 3 4 3 2" xfId="5281" xr:uid="{748F6257-88A3-425D-8648-FD653D1178CE}"/>
    <cellStyle name="Normal 8 3 4 3 2 2" xfId="9499" xr:uid="{613B0E39-DE9C-4861-9335-7C5BCF99B9EA}"/>
    <cellStyle name="Normal 8 3 4 3 3" xfId="7354" xr:uid="{2F8D68C3-C275-4252-9A93-8CCD4DB0D1A5}"/>
    <cellStyle name="Normal 8 3 4 4" xfId="3465" xr:uid="{F18A3169-0934-49AC-BB4F-F3BC1959513A}"/>
    <cellStyle name="Normal 8 3 4 4 2" xfId="5694" xr:uid="{BE6D5F93-FB9A-4CDA-BD6B-24FE53B76A7D}"/>
    <cellStyle name="Normal 8 3 4 4 2 2" xfId="9912" xr:uid="{47E2798E-E631-45F4-A014-62D9EEB241BB}"/>
    <cellStyle name="Normal 8 3 4 4 3" xfId="7767" xr:uid="{2DCFA93D-B097-45FA-BD95-F32D4FB65A62}"/>
    <cellStyle name="Normal 8 3 4 5" xfId="3878" xr:uid="{73B3ACF3-91EE-42FA-9C02-ABB1F2669FF0}"/>
    <cellStyle name="Normal 8 3 4 5 2" xfId="6107" xr:uid="{85DF870E-9494-450C-9A47-5825D218AF33}"/>
    <cellStyle name="Normal 8 3 4 5 2 2" xfId="10325" xr:uid="{1D61032F-0245-4851-AD47-AC65697ECB5A}"/>
    <cellStyle name="Normal 8 3 4 5 3" xfId="8180" xr:uid="{2F6FBD02-1682-4C84-824E-685FF4FB7902}"/>
    <cellStyle name="Normal 8 3 4 6" xfId="4314" xr:uid="{8F80F6F3-0075-4693-BFCA-93DE46B789E4}"/>
    <cellStyle name="Normal 8 3 4 6 2" xfId="8593" xr:uid="{1F072C34-AE35-45CB-A811-126993152417}"/>
    <cellStyle name="Normal 8 3 4 7" xfId="6528" xr:uid="{CC22C3BA-8066-4051-A4B0-78B98212945D}"/>
    <cellStyle name="Normal 8 3 4 8" xfId="2224" xr:uid="{9AC46241-193F-4F61-8458-CB70F71A3FEB}"/>
    <cellStyle name="Normal 8 3 4 9" xfId="1394" xr:uid="{04F896E8-8F0E-4FB5-9897-D749D77B63F5}"/>
    <cellStyle name="Normal 8 3 5" xfId="970" xr:uid="{00000000-0005-0000-0000-00008B030000}"/>
    <cellStyle name="Normal 8 3 5 2" xfId="4861" xr:uid="{79D0DFD0-B8E5-4C38-B8EA-101577F56947}"/>
    <cellStyle name="Normal 8 3 5 2 2" xfId="9079" xr:uid="{E5587858-6B79-45DD-9152-2D684E9786B2}"/>
    <cellStyle name="Normal 8 3 5 3" xfId="6934" xr:uid="{5118C80C-84FA-4625-BC4B-19694AE6F278}"/>
    <cellStyle name="Normal 8 3 5 4" xfId="2632" xr:uid="{8A6B8D90-E33E-44BC-AC34-2D229A454E95}"/>
    <cellStyle name="Normal 8 3 5 5" xfId="1803" xr:uid="{5B910B09-5B2B-4DF0-9299-6FD077540AF0}"/>
    <cellStyle name="Normal 8 3 5 6" xfId="11169" xr:uid="{AA008AB4-3B97-4B7F-8269-C749F01E0662}"/>
    <cellStyle name="Normal 8 3 6" xfId="3045" xr:uid="{E918CB46-3ACC-48E4-8404-B338BE79C4F8}"/>
    <cellStyle name="Normal 8 3 6 2" xfId="5274" xr:uid="{83AB9AA7-DDC1-4A55-8A5E-4F4BD968FCA6}"/>
    <cellStyle name="Normal 8 3 6 2 2" xfId="9492" xr:uid="{7FB98756-DFE1-4976-9EC2-F8A5DD24EAA5}"/>
    <cellStyle name="Normal 8 3 6 3" xfId="7347" xr:uid="{AE653B36-84B8-44EB-B1B3-A635F2648467}"/>
    <cellStyle name="Normal 8 3 7" xfId="3458" xr:uid="{514A8100-A2EF-4BAE-9407-A42A06416576}"/>
    <cellStyle name="Normal 8 3 7 2" xfId="5687" xr:uid="{F707CB45-73E1-4740-BBFE-DF1B13038157}"/>
    <cellStyle name="Normal 8 3 7 2 2" xfId="9905" xr:uid="{0A053A9B-EFE3-4436-B894-B2DCD0C4BD0E}"/>
    <cellStyle name="Normal 8 3 7 3" xfId="7760" xr:uid="{F33C7D65-D13C-436E-9D6C-8E9BC774547F}"/>
    <cellStyle name="Normal 8 3 8" xfId="3871" xr:uid="{78998E6D-7824-44E4-8C55-5897E5FFC0B9}"/>
    <cellStyle name="Normal 8 3 8 2" xfId="6100" xr:uid="{2DEAC983-4E13-42D5-94BE-A4B66F985C54}"/>
    <cellStyle name="Normal 8 3 8 2 2" xfId="10318" xr:uid="{7CC19FE7-ECFA-46CB-B25B-92C1896FC18C}"/>
    <cellStyle name="Normal 8 3 8 3" xfId="8173" xr:uid="{85BEA838-A16D-417F-B842-6BEE365FE808}"/>
    <cellStyle name="Normal 8 3 9" xfId="4307" xr:uid="{E4D2C0F7-61BA-4B7E-A332-CC06EB20C390}"/>
    <cellStyle name="Normal 8 3 9 2" xfId="8586" xr:uid="{6A4B65C7-23D3-4543-8642-8ECA9E5E20DD}"/>
    <cellStyle name="Normal 8 4" xfId="506" xr:uid="{00000000-0005-0000-0000-00008C030000}"/>
    <cellStyle name="Normal 8 4 10" xfId="2225" xr:uid="{F03F10AC-2F91-4548-8ECB-ECD191FDFBAD}"/>
    <cellStyle name="Normal 8 4 11" xfId="1395" xr:uid="{A1442155-8CDE-46A9-AD41-9D85F58B744E}"/>
    <cellStyle name="Normal 8 4 12" xfId="10761" xr:uid="{80FF07A5-9492-48B5-AB1C-DE56CAAEF024}"/>
    <cellStyle name="Normal 8 4 2" xfId="507" xr:uid="{00000000-0005-0000-0000-00008D030000}"/>
    <cellStyle name="Normal 8 4 2 10" xfId="1396" xr:uid="{7D46BBD7-8BE6-40AF-9654-2E47FA26DBE4}"/>
    <cellStyle name="Normal 8 4 2 11" xfId="10762" xr:uid="{535B9386-B5DC-4B7F-AE77-E3B6813F9B86}"/>
    <cellStyle name="Normal 8 4 2 2" xfId="508" xr:uid="{00000000-0005-0000-0000-00008E030000}"/>
    <cellStyle name="Normal 8 4 2 2 10" xfId="10763" xr:uid="{D13AC944-E2A0-4E11-B0DE-0844EEE533DA}"/>
    <cellStyle name="Normal 8 4 2 2 2" xfId="980" xr:uid="{00000000-0005-0000-0000-00008F030000}"/>
    <cellStyle name="Normal 8 4 2 2 2 2" xfId="4871" xr:uid="{0A6B03C4-CBA0-42EC-80A7-AFEEC2C0F7D3}"/>
    <cellStyle name="Normal 8 4 2 2 2 2 2" xfId="9089" xr:uid="{E408F5F0-3555-4907-A3C1-27A7E5488855}"/>
    <cellStyle name="Normal 8 4 2 2 2 3" xfId="6944" xr:uid="{E3819DCB-E392-486A-B8CA-E8CB587EC57F}"/>
    <cellStyle name="Normal 8 4 2 2 2 4" xfId="2642" xr:uid="{5CC609FD-A157-4307-869D-D72876540501}"/>
    <cellStyle name="Normal 8 4 2 2 2 5" xfId="1813" xr:uid="{5D050BEF-AC47-4684-8B62-80F6388D5723}"/>
    <cellStyle name="Normal 8 4 2 2 2 6" xfId="11179" xr:uid="{EF1038F9-6174-4A48-8127-8A7C7ABE9E6F}"/>
    <cellStyle name="Normal 8 4 2 2 3" xfId="3055" xr:uid="{B21FB4FB-9F74-4FEC-B16D-504BD1C64D00}"/>
    <cellStyle name="Normal 8 4 2 2 3 2" xfId="5284" xr:uid="{17482D69-89D3-4874-90A2-DB128C6B1C7F}"/>
    <cellStyle name="Normal 8 4 2 2 3 2 2" xfId="9502" xr:uid="{BF34B337-373E-4ABE-AC22-9B91D02D4AF7}"/>
    <cellStyle name="Normal 8 4 2 2 3 3" xfId="7357" xr:uid="{B2F7C19F-1767-4129-BA9F-E77E8E94D1D1}"/>
    <cellStyle name="Normal 8 4 2 2 4" xfId="3468" xr:uid="{FF402A1B-29F3-465A-B57D-D5E2FB25A9F3}"/>
    <cellStyle name="Normal 8 4 2 2 4 2" xfId="5697" xr:uid="{4D338799-BABA-422B-9EAB-28FEB7A44866}"/>
    <cellStyle name="Normal 8 4 2 2 4 2 2" xfId="9915" xr:uid="{A6B022B7-2B13-4637-8C41-364065AB4885}"/>
    <cellStyle name="Normal 8 4 2 2 4 3" xfId="7770" xr:uid="{1F441D30-AF0B-4961-8C2F-7AFE2AE5423A}"/>
    <cellStyle name="Normal 8 4 2 2 5" xfId="3881" xr:uid="{9DF6B142-11CA-4C17-8FBD-AFF441C868BB}"/>
    <cellStyle name="Normal 8 4 2 2 5 2" xfId="6110" xr:uid="{5F8F2339-9D04-46DD-ABF0-EE2E0FB49D7E}"/>
    <cellStyle name="Normal 8 4 2 2 5 2 2" xfId="10328" xr:uid="{98E26EFB-0693-4CEB-A686-97E9EDD22B60}"/>
    <cellStyle name="Normal 8 4 2 2 5 3" xfId="8183" xr:uid="{DA4AD42E-286C-407D-9B7C-EB80462A09C4}"/>
    <cellStyle name="Normal 8 4 2 2 6" xfId="4317" xr:uid="{96C8F83D-55FB-4674-80EF-76BB442AFC80}"/>
    <cellStyle name="Normal 8 4 2 2 6 2" xfId="8596" xr:uid="{EA89F071-35CC-4CC5-81AF-5CAFC9CC6D70}"/>
    <cellStyle name="Normal 8 4 2 2 7" xfId="6531" xr:uid="{987B5CD6-93A5-40CE-80F3-564AD4401D50}"/>
    <cellStyle name="Normal 8 4 2 2 8" xfId="2227" xr:uid="{2664F4AA-CB97-4CCE-99D0-8201E5906025}"/>
    <cellStyle name="Normal 8 4 2 2 9" xfId="1397" xr:uid="{B16D0659-9668-4007-9508-57231AF2E9A9}"/>
    <cellStyle name="Normal 8 4 2 3" xfId="979" xr:uid="{00000000-0005-0000-0000-000090030000}"/>
    <cellStyle name="Normal 8 4 2 3 2" xfId="4870" xr:uid="{ECFBA95E-2E4D-40C3-BCF5-8D76AAA9D1CC}"/>
    <cellStyle name="Normal 8 4 2 3 2 2" xfId="9088" xr:uid="{3B5EDFDA-A173-40F2-BCDC-961EA67B1631}"/>
    <cellStyle name="Normal 8 4 2 3 3" xfId="6943" xr:uid="{3E727880-13AA-40A9-9DD1-3FE63646DAFD}"/>
    <cellStyle name="Normal 8 4 2 3 4" xfId="2641" xr:uid="{3AB65C67-1EA0-4F54-82AB-D2C00034B652}"/>
    <cellStyle name="Normal 8 4 2 3 5" xfId="1812" xr:uid="{75EECF5F-2485-462F-BBA9-C91435160348}"/>
    <cellStyle name="Normal 8 4 2 3 6" xfId="11178" xr:uid="{13EBB362-9342-47CA-A8C5-3F9227D2EF2B}"/>
    <cellStyle name="Normal 8 4 2 4" xfId="3054" xr:uid="{04448318-4ED2-4159-A6B4-62D6FBAF5294}"/>
    <cellStyle name="Normal 8 4 2 4 2" xfId="5283" xr:uid="{166E2395-90D0-4827-8904-AD9AC5C0E0C4}"/>
    <cellStyle name="Normal 8 4 2 4 2 2" xfId="9501" xr:uid="{2FC8B88E-D555-4882-A607-4706A8B415AD}"/>
    <cellStyle name="Normal 8 4 2 4 3" xfId="7356" xr:uid="{91C28A65-B4E4-4CCF-B619-66485815DE01}"/>
    <cellStyle name="Normal 8 4 2 5" xfId="3467" xr:uid="{D8E5B592-B5D2-4CA6-837A-9C38509CACD5}"/>
    <cellStyle name="Normal 8 4 2 5 2" xfId="5696" xr:uid="{3B561A3C-5DF8-462A-9693-82A62F6BA7C2}"/>
    <cellStyle name="Normal 8 4 2 5 2 2" xfId="9914" xr:uid="{41B07B65-CB5F-43FB-8C1B-E865EC482FF9}"/>
    <cellStyle name="Normal 8 4 2 5 3" xfId="7769" xr:uid="{F1309204-24BE-4C6C-BC5C-378DAD21AB9B}"/>
    <cellStyle name="Normal 8 4 2 6" xfId="3880" xr:uid="{50E44437-11DE-41FD-AB9F-2353DE0003F8}"/>
    <cellStyle name="Normal 8 4 2 6 2" xfId="6109" xr:uid="{D63094BB-3C96-447C-9EC8-EF7BD980D4A9}"/>
    <cellStyle name="Normal 8 4 2 6 2 2" xfId="10327" xr:uid="{19D2BC4B-2976-4BA9-A886-3D471B0D6F07}"/>
    <cellStyle name="Normal 8 4 2 6 3" xfId="8182" xr:uid="{8BBE1AE5-37F1-45EA-BE9F-C150FB901F7C}"/>
    <cellStyle name="Normal 8 4 2 7" xfId="4316" xr:uid="{8112305E-FBE6-4BC2-B425-DCBB414BCFD9}"/>
    <cellStyle name="Normal 8 4 2 7 2" xfId="8595" xr:uid="{4DDCC4D9-D910-44CB-8942-538F39A310E9}"/>
    <cellStyle name="Normal 8 4 2 8" xfId="6530" xr:uid="{B2DC3428-F0B1-49E3-8504-28D31C9CB9F7}"/>
    <cellStyle name="Normal 8 4 2 9" xfId="2226" xr:uid="{8D73F057-400B-47D8-A3A7-A9B6DD64EDF9}"/>
    <cellStyle name="Normal 8 4 3" xfId="509" xr:uid="{00000000-0005-0000-0000-000091030000}"/>
    <cellStyle name="Normal 8 4 3 10" xfId="10764" xr:uid="{3A84612E-F7FE-403D-BF14-9D5F4E497AA2}"/>
    <cellStyle name="Normal 8 4 3 2" xfId="981" xr:uid="{00000000-0005-0000-0000-000092030000}"/>
    <cellStyle name="Normal 8 4 3 2 2" xfId="4872" xr:uid="{82CF0ABF-9BB8-449B-B923-60BD27890F8F}"/>
    <cellStyle name="Normal 8 4 3 2 2 2" xfId="9090" xr:uid="{33760F73-54B4-48DE-8FEC-B6BA442F3F6E}"/>
    <cellStyle name="Normal 8 4 3 2 3" xfId="6945" xr:uid="{6AC21A86-FFC7-45DA-AD2C-152E72BC3D2B}"/>
    <cellStyle name="Normal 8 4 3 2 4" xfId="2643" xr:uid="{3B416214-FFB1-4BBF-B025-FBFD8DD3F1E5}"/>
    <cellStyle name="Normal 8 4 3 2 5" xfId="1814" xr:uid="{AC977E6D-AE3D-43C7-AE8A-65E77F14C22E}"/>
    <cellStyle name="Normal 8 4 3 2 6" xfId="11180" xr:uid="{36C9F7C6-99C2-415A-9939-16E4119624E3}"/>
    <cellStyle name="Normal 8 4 3 3" xfId="3056" xr:uid="{5F8B3AED-FBAB-4673-86C4-D537B2D92AC7}"/>
    <cellStyle name="Normal 8 4 3 3 2" xfId="5285" xr:uid="{7A51F54C-B0A0-42C3-BE5E-0E3E1B05C648}"/>
    <cellStyle name="Normal 8 4 3 3 2 2" xfId="9503" xr:uid="{66AE069A-9E73-49B3-9E2C-9F9BDF195176}"/>
    <cellStyle name="Normal 8 4 3 3 3" xfId="7358" xr:uid="{125134CA-8580-40C6-A179-F5AFEDCCE4DB}"/>
    <cellStyle name="Normal 8 4 3 4" xfId="3469" xr:uid="{DC39CA68-ED62-4AD1-9B3B-38A2055DA85E}"/>
    <cellStyle name="Normal 8 4 3 4 2" xfId="5698" xr:uid="{2DD7A025-C935-4278-99B8-29CDE811D692}"/>
    <cellStyle name="Normal 8 4 3 4 2 2" xfId="9916" xr:uid="{75C7922D-DC4D-477D-95B0-A2F35DD07041}"/>
    <cellStyle name="Normal 8 4 3 4 3" xfId="7771" xr:uid="{0AE758C0-481D-4B7C-A254-81E3BAEA2EC3}"/>
    <cellStyle name="Normal 8 4 3 5" xfId="3882" xr:uid="{95C2DEF2-3091-4584-ADB1-D26161FACA6E}"/>
    <cellStyle name="Normal 8 4 3 5 2" xfId="6111" xr:uid="{F9F109A6-DFF5-44B3-A892-B762637D7164}"/>
    <cellStyle name="Normal 8 4 3 5 2 2" xfId="10329" xr:uid="{7A50F077-F555-4017-8509-CB7DA5F7A992}"/>
    <cellStyle name="Normal 8 4 3 5 3" xfId="8184" xr:uid="{740CFC63-B95B-40ED-870E-E662FF03632B}"/>
    <cellStyle name="Normal 8 4 3 6" xfId="4318" xr:uid="{3977F750-3CF2-485D-BF5D-4800342573CE}"/>
    <cellStyle name="Normal 8 4 3 6 2" xfId="8597" xr:uid="{A3CA1980-B198-4B31-84AF-6F3DFFE09CE4}"/>
    <cellStyle name="Normal 8 4 3 7" xfId="6532" xr:uid="{2BE14EBC-A5E1-4B34-895C-3AA74EA60D72}"/>
    <cellStyle name="Normal 8 4 3 8" xfId="2228" xr:uid="{3F877227-E394-4D88-A835-73104BCE90C3}"/>
    <cellStyle name="Normal 8 4 3 9" xfId="1398" xr:uid="{658D633F-DEAC-4839-9D24-EF9321685C77}"/>
    <cellStyle name="Normal 8 4 4" xfId="978" xr:uid="{00000000-0005-0000-0000-000093030000}"/>
    <cellStyle name="Normal 8 4 4 2" xfId="4869" xr:uid="{023AE0B0-DEE4-49AF-8A8A-FCE3CEA3C81C}"/>
    <cellStyle name="Normal 8 4 4 2 2" xfId="9087" xr:uid="{FCEAB7CA-42EB-4C0E-80B8-2012144D4CF7}"/>
    <cellStyle name="Normal 8 4 4 3" xfId="6942" xr:uid="{597E6BF7-2433-466B-BEE0-00EFBB69002F}"/>
    <cellStyle name="Normal 8 4 4 4" xfId="2640" xr:uid="{5FC077A1-32E7-451B-B4DB-E3A309AF8D1A}"/>
    <cellStyle name="Normal 8 4 4 5" xfId="1811" xr:uid="{8EB2BB43-2C5D-41ED-8A0C-D8946077DE51}"/>
    <cellStyle name="Normal 8 4 4 6" xfId="11177" xr:uid="{3B70E5F3-F03B-44D0-8C32-A0F3073F9ACF}"/>
    <cellStyle name="Normal 8 4 5" xfId="3053" xr:uid="{36F3DF4E-794C-48D6-B7FC-0DA51A449B6A}"/>
    <cellStyle name="Normal 8 4 5 2" xfId="5282" xr:uid="{05C6DCE4-3EE2-4E81-B24A-5EB258562044}"/>
    <cellStyle name="Normal 8 4 5 2 2" xfId="9500" xr:uid="{DDD25B14-BEA7-450A-A382-EDB2ACE17505}"/>
    <cellStyle name="Normal 8 4 5 3" xfId="7355" xr:uid="{689778E9-22A9-42F8-9562-94A2131EA92C}"/>
    <cellStyle name="Normal 8 4 6" xfId="3466" xr:uid="{DAD9F15E-4FE1-49F1-94F7-CB76025BDE6B}"/>
    <cellStyle name="Normal 8 4 6 2" xfId="5695" xr:uid="{CE596D20-532F-461C-BDC0-6D45149B07D4}"/>
    <cellStyle name="Normal 8 4 6 2 2" xfId="9913" xr:uid="{D306CFF9-CB0D-405A-87B7-2D7F7DC17C03}"/>
    <cellStyle name="Normal 8 4 6 3" xfId="7768" xr:uid="{03195BAC-A4D7-490D-B695-4A6FEEDF5E8E}"/>
    <cellStyle name="Normal 8 4 7" xfId="3879" xr:uid="{68571A88-D55D-4528-8CA0-EC76D523B401}"/>
    <cellStyle name="Normal 8 4 7 2" xfId="6108" xr:uid="{32A2EBE3-0687-4C08-9E97-2A415ED2AF61}"/>
    <cellStyle name="Normal 8 4 7 2 2" xfId="10326" xr:uid="{858819F1-3A31-4E47-9C49-FCEE8528D756}"/>
    <cellStyle name="Normal 8 4 7 3" xfId="8181" xr:uid="{B4971E0B-F594-40B1-BFA4-1A029D1C7549}"/>
    <cellStyle name="Normal 8 4 8" xfId="4315" xr:uid="{9D3C13CC-8269-4989-A48D-C65DD03FA975}"/>
    <cellStyle name="Normal 8 4 8 2" xfId="8594" xr:uid="{4DD1D218-4861-4FD5-8F9E-69C276F86C1D}"/>
    <cellStyle name="Normal 8 4 9" xfId="6529" xr:uid="{7D2B7599-9D50-4D97-BC75-0A2FE6198224}"/>
    <cellStyle name="Normal 8 5" xfId="510" xr:uid="{00000000-0005-0000-0000-000094030000}"/>
    <cellStyle name="Normal 8 5 10" xfId="1399" xr:uid="{7401C156-ADDB-40E8-87C6-12748F7A61F3}"/>
    <cellStyle name="Normal 8 5 11" xfId="10765" xr:uid="{BA95CD71-F9C2-4FA6-A804-0EF2CCB74ABA}"/>
    <cellStyle name="Normal 8 5 2" xfId="511" xr:uid="{00000000-0005-0000-0000-000095030000}"/>
    <cellStyle name="Normal 8 5 2 10" xfId="10766" xr:uid="{9A1047B9-4941-496A-A6CC-2F4930EFFD81}"/>
    <cellStyle name="Normal 8 5 2 2" xfId="983" xr:uid="{00000000-0005-0000-0000-000096030000}"/>
    <cellStyle name="Normal 8 5 2 2 2" xfId="4874" xr:uid="{AB590762-C591-4BEE-9BC9-4251C07655A4}"/>
    <cellStyle name="Normal 8 5 2 2 2 2" xfId="9092" xr:uid="{36AAC690-4723-464A-A7BD-78A012372E8C}"/>
    <cellStyle name="Normal 8 5 2 2 3" xfId="6947" xr:uid="{D933EE16-0002-42A9-AFD9-9ED230B3759C}"/>
    <cellStyle name="Normal 8 5 2 2 4" xfId="2645" xr:uid="{63B774E1-E7CD-4330-95D0-7CC3F17ED067}"/>
    <cellStyle name="Normal 8 5 2 2 5" xfId="1816" xr:uid="{2E1968AA-2D0B-4CD2-B85D-B52F331365B7}"/>
    <cellStyle name="Normal 8 5 2 2 6" xfId="11182" xr:uid="{DD95868E-0033-4847-8ADD-F7ECCC25FAEC}"/>
    <cellStyle name="Normal 8 5 2 3" xfId="3058" xr:uid="{8566AB29-35E4-4DD4-B39B-DEAE86C8E970}"/>
    <cellStyle name="Normal 8 5 2 3 2" xfId="5287" xr:uid="{23316985-B1E0-4346-A87E-15A15D8E931D}"/>
    <cellStyle name="Normal 8 5 2 3 2 2" xfId="9505" xr:uid="{2F0E991C-ADB8-433A-BA8C-E56A86A13E3D}"/>
    <cellStyle name="Normal 8 5 2 3 3" xfId="7360" xr:uid="{DF979396-F921-4853-B698-475207529C8C}"/>
    <cellStyle name="Normal 8 5 2 4" xfId="3471" xr:uid="{CB32F223-163A-4143-9569-9DDD50AF1CDD}"/>
    <cellStyle name="Normal 8 5 2 4 2" xfId="5700" xr:uid="{699DF6E3-8243-400E-88D0-75150D7CD5B6}"/>
    <cellStyle name="Normal 8 5 2 4 2 2" xfId="9918" xr:uid="{6045AC69-E5C2-41C2-AD19-2FC416D6E671}"/>
    <cellStyle name="Normal 8 5 2 4 3" xfId="7773" xr:uid="{5BED35AC-9E2B-4E10-99E9-6A29F63CFB72}"/>
    <cellStyle name="Normal 8 5 2 5" xfId="3884" xr:uid="{157EFB2E-7382-48DA-8D63-A5997381F8F0}"/>
    <cellStyle name="Normal 8 5 2 5 2" xfId="6113" xr:uid="{2E35309F-5614-42DE-809D-D91543CC1DEB}"/>
    <cellStyle name="Normal 8 5 2 5 2 2" xfId="10331" xr:uid="{2452FE2A-AB4C-4679-BAFC-6ECE366B4E4E}"/>
    <cellStyle name="Normal 8 5 2 5 3" xfId="8186" xr:uid="{70646C46-7AA1-4704-BD2E-3B0A4DF688D1}"/>
    <cellStyle name="Normal 8 5 2 6" xfId="4320" xr:uid="{36C08689-84FD-4BE4-BCB1-C33BE92C000B}"/>
    <cellStyle name="Normal 8 5 2 6 2" xfId="8599" xr:uid="{1FE64C3B-D9CA-4348-A757-C3C4E4D1307C}"/>
    <cellStyle name="Normal 8 5 2 7" xfId="6534" xr:uid="{2BB2A018-8676-4718-AC45-DA5406B6F195}"/>
    <cellStyle name="Normal 8 5 2 8" xfId="2230" xr:uid="{59CECB14-1E51-4993-A34D-D9AD1040CA7F}"/>
    <cellStyle name="Normal 8 5 2 9" xfId="1400" xr:uid="{37FE6C0B-60CB-4DB6-8AED-D688E7316E2E}"/>
    <cellStyle name="Normal 8 5 3" xfId="982" xr:uid="{00000000-0005-0000-0000-000097030000}"/>
    <cellStyle name="Normal 8 5 3 2" xfId="4873" xr:uid="{E0226D4D-4548-4739-A9C0-049D9A4530C0}"/>
    <cellStyle name="Normal 8 5 3 2 2" xfId="9091" xr:uid="{E403ABC5-C9D7-4F6F-A8A0-87530912A469}"/>
    <cellStyle name="Normal 8 5 3 3" xfId="6946" xr:uid="{1F86F501-F422-4BC5-BBC5-B9A8276D6763}"/>
    <cellStyle name="Normal 8 5 3 4" xfId="2644" xr:uid="{B0E9E85A-DFA6-4F04-8167-720F0F988CA0}"/>
    <cellStyle name="Normal 8 5 3 5" xfId="1815" xr:uid="{61174AAF-5812-49A1-B279-811A018984B1}"/>
    <cellStyle name="Normal 8 5 3 6" xfId="11181" xr:uid="{5B0B6CA6-633C-4112-978B-30F6C7DE34EE}"/>
    <cellStyle name="Normal 8 5 4" xfId="3057" xr:uid="{FF14792A-67AC-4698-8F31-A753859877F9}"/>
    <cellStyle name="Normal 8 5 4 2" xfId="5286" xr:uid="{AEB7A062-8629-4BE4-BDA9-5F6B7FA1E629}"/>
    <cellStyle name="Normal 8 5 4 2 2" xfId="9504" xr:uid="{A90446C7-AA77-4D72-A998-AB524AB7A252}"/>
    <cellStyle name="Normal 8 5 4 3" xfId="7359" xr:uid="{32210061-8EB0-4F74-A1CA-9F0C234AEC18}"/>
    <cellStyle name="Normal 8 5 5" xfId="3470" xr:uid="{956DAAB8-7944-48BA-BE38-A32C8D027BB7}"/>
    <cellStyle name="Normal 8 5 5 2" xfId="5699" xr:uid="{1CEDFF74-76DA-4A92-A95F-514798721A14}"/>
    <cellStyle name="Normal 8 5 5 2 2" xfId="9917" xr:uid="{B2A4915B-B91B-4380-8845-07A6A74B8242}"/>
    <cellStyle name="Normal 8 5 5 3" xfId="7772" xr:uid="{77997364-1399-4871-A035-239878ADAA88}"/>
    <cellStyle name="Normal 8 5 6" xfId="3883" xr:uid="{245D7428-9D78-4B36-A199-676A27BAB446}"/>
    <cellStyle name="Normal 8 5 6 2" xfId="6112" xr:uid="{24450476-57F3-4BC7-8759-3ADFD4AB702B}"/>
    <cellStyle name="Normal 8 5 6 2 2" xfId="10330" xr:uid="{AEE5903D-EC30-47C7-AD74-CFB2AAF1A102}"/>
    <cellStyle name="Normal 8 5 6 3" xfId="8185" xr:uid="{81E9ACBB-CC02-469E-976C-7CCA9B0310DE}"/>
    <cellStyle name="Normal 8 5 7" xfId="4319" xr:uid="{B85B3A6C-C334-475B-8C7A-B56C4CEA5018}"/>
    <cellStyle name="Normal 8 5 7 2" xfId="8598" xr:uid="{0CC5F6E8-3196-4A2A-954F-D7A17C1F2549}"/>
    <cellStyle name="Normal 8 5 8" xfId="6533" xr:uid="{CA4272BB-D928-4E07-BF3E-37B2FCD94005}"/>
    <cellStyle name="Normal 8 5 9" xfId="2229" xr:uid="{297CE30C-5A1E-4C55-81F0-DBF4FE141E70}"/>
    <cellStyle name="Normal 8 6" xfId="512" xr:uid="{00000000-0005-0000-0000-000098030000}"/>
    <cellStyle name="Normal 8 6 10" xfId="10767" xr:uid="{5A7E57C1-7470-4CBF-A7B3-8764ED054424}"/>
    <cellStyle name="Normal 8 6 2" xfId="984" xr:uid="{00000000-0005-0000-0000-000099030000}"/>
    <cellStyle name="Normal 8 6 2 2" xfId="4875" xr:uid="{497B1FA2-70DB-4E4A-9121-9360455DE222}"/>
    <cellStyle name="Normal 8 6 2 2 2" xfId="9093" xr:uid="{59B4FE54-1BF8-4199-BB96-8FFC8319F0FC}"/>
    <cellStyle name="Normal 8 6 2 3" xfId="6948" xr:uid="{E2220E87-CE0F-4018-BF07-20698190501A}"/>
    <cellStyle name="Normal 8 6 2 4" xfId="2646" xr:uid="{3C83F3FE-3657-46F3-ACCF-8E74C6C24FEC}"/>
    <cellStyle name="Normal 8 6 2 5" xfId="1817" xr:uid="{7301C41F-383C-450A-9EAD-65DA2F000654}"/>
    <cellStyle name="Normal 8 6 2 6" xfId="11183" xr:uid="{56B1891F-3D12-459E-B069-E3604FA48A7E}"/>
    <cellStyle name="Normal 8 6 3" xfId="3059" xr:uid="{CFD6283B-3BBE-4774-8E5E-2D9F2FD96794}"/>
    <cellStyle name="Normal 8 6 3 2" xfId="5288" xr:uid="{1DDF7C12-962C-4910-A567-93344336D17B}"/>
    <cellStyle name="Normal 8 6 3 2 2" xfId="9506" xr:uid="{4808B41C-9E96-4B92-9A20-769C20DC7903}"/>
    <cellStyle name="Normal 8 6 3 3" xfId="7361" xr:uid="{36CE4947-8378-4E88-998F-48BD5FD8A4F0}"/>
    <cellStyle name="Normal 8 6 4" xfId="3472" xr:uid="{A924BF8C-E04C-4BDC-8A8A-B458B7431335}"/>
    <cellStyle name="Normal 8 6 4 2" xfId="5701" xr:uid="{F47EB38A-9576-4FA9-A070-635B219F6417}"/>
    <cellStyle name="Normal 8 6 4 2 2" xfId="9919" xr:uid="{DBD21807-CD58-4592-BD58-043B9905F8FD}"/>
    <cellStyle name="Normal 8 6 4 3" xfId="7774" xr:uid="{270CD6C0-8A44-48B2-8860-9FFA0AB28302}"/>
    <cellStyle name="Normal 8 6 5" xfId="3885" xr:uid="{F529B86D-DC23-4A57-A53D-FE2AB2492533}"/>
    <cellStyle name="Normal 8 6 5 2" xfId="6114" xr:uid="{7811465E-A590-4225-B58F-49CE69BF7F68}"/>
    <cellStyle name="Normal 8 6 5 2 2" xfId="10332" xr:uid="{55DDCFF9-D733-4B21-B731-6936974590CF}"/>
    <cellStyle name="Normal 8 6 5 3" xfId="8187" xr:uid="{85029DDE-3C7D-4F30-A4E2-5982EFDBDB07}"/>
    <cellStyle name="Normal 8 6 6" xfId="4321" xr:uid="{ED55F864-ACE2-42B9-9B14-6EC69D72CC17}"/>
    <cellStyle name="Normal 8 6 6 2" xfId="8600" xr:uid="{84B6835D-089F-452C-9E01-7ED88DB487C3}"/>
    <cellStyle name="Normal 8 6 7" xfId="6535" xr:uid="{941F5DDD-28A6-4CA2-A605-CB81253917A2}"/>
    <cellStyle name="Normal 8 6 8" xfId="2231" xr:uid="{6B2B9DC5-1DE4-4374-9896-1905A0953A6D}"/>
    <cellStyle name="Normal 8 6 9" xfId="1401" xr:uid="{615A34CA-CA2D-4240-BD7F-034F8E998778}"/>
    <cellStyle name="Normal 8 7" xfId="953" xr:uid="{00000000-0005-0000-0000-00009A030000}"/>
    <cellStyle name="Normal 8 7 2" xfId="4844" xr:uid="{4A4B2099-6916-4D11-A74B-AC366BD03F12}"/>
    <cellStyle name="Normal 8 7 2 2" xfId="9062" xr:uid="{B02B02DA-E54B-4AA6-B211-DB4CDFC21BFD}"/>
    <cellStyle name="Normal 8 7 3" xfId="6917" xr:uid="{7F1396FA-E0BE-4CBD-89D6-EDC1B61C609B}"/>
    <cellStyle name="Normal 8 7 4" xfId="2615" xr:uid="{1A9891C4-3579-4C1B-84AE-C9ED19F63362}"/>
    <cellStyle name="Normal 8 7 5" xfId="1786" xr:uid="{35704D68-0338-4A29-AA3E-BAA7BDD71B18}"/>
    <cellStyle name="Normal 8 7 6" xfId="11152" xr:uid="{F5E70839-A910-4569-B903-40F7AB6C93E8}"/>
    <cellStyle name="Normal 8 8" xfId="3028" xr:uid="{782A27D2-E20E-4C87-A4A0-85098C010592}"/>
    <cellStyle name="Normal 8 8 2" xfId="5257" xr:uid="{CDEFC56D-008D-4658-B493-10B66BC84A53}"/>
    <cellStyle name="Normal 8 8 2 2" xfId="9475" xr:uid="{0D5877A5-F65B-49FC-AA14-F7B69B3E4645}"/>
    <cellStyle name="Normal 8 8 3" xfId="7330" xr:uid="{32DCA2C0-4F67-4EF7-8E19-B4AB19CCAB6B}"/>
    <cellStyle name="Normal 8 9" xfId="3441" xr:uid="{C9143AD7-1710-4A96-B289-28098E0EE5D8}"/>
    <cellStyle name="Normal 8 9 2" xfId="5670" xr:uid="{B40F0AF3-19D0-48B8-A385-ABAF7C0F7CB7}"/>
    <cellStyle name="Normal 8 9 2 2" xfId="9888" xr:uid="{C86E3A48-BB9D-4CFA-A9D6-E9496D8962E3}"/>
    <cellStyle name="Normal 8 9 3" xfId="7743" xr:uid="{54714C1F-14C1-44B9-85D2-5B8772C4394E}"/>
    <cellStyle name="Normal 9" xfId="513" xr:uid="{00000000-0005-0000-0000-00009B030000}"/>
    <cellStyle name="Normal 9 2" xfId="514" xr:uid="{00000000-0005-0000-0000-00009C030000}"/>
    <cellStyle name="Normal 9 2 10" xfId="4322" xr:uid="{959927CC-2277-4610-9542-5B477FCE25E5}"/>
    <cellStyle name="Normal 9 2 10 2" xfId="8601" xr:uid="{E2102C5D-9257-45C9-A133-7058054C77A5}"/>
    <cellStyle name="Normal 9 2 11" xfId="6536" xr:uid="{83A09E62-3AD8-42E9-B4BC-D420239FEEB4}"/>
    <cellStyle name="Normal 9 2 12" xfId="2232" xr:uid="{64E38A4E-AC30-4E3A-9208-ED3168A67AA3}"/>
    <cellStyle name="Normal 9 2 13" xfId="1402" xr:uid="{BA20E2C6-895F-45D9-BDC6-142436EE4B66}"/>
    <cellStyle name="Normal 9 2 14" xfId="10768" xr:uid="{07157129-EBA6-41B8-AA84-0C85A41242DD}"/>
    <cellStyle name="Normal 9 2 2" xfId="515" xr:uid="{00000000-0005-0000-0000-00009D030000}"/>
    <cellStyle name="Normal 9 2 2 10" xfId="6537" xr:uid="{1CA592AB-78C4-4497-997D-37057995E027}"/>
    <cellStyle name="Normal 9 2 2 11" xfId="2233" xr:uid="{FF553AD2-6D1F-4A00-B9A8-260AAE008F15}"/>
    <cellStyle name="Normal 9 2 2 12" xfId="1403" xr:uid="{9ACBBFC5-C068-4D2E-A5CC-617B973B01C6}"/>
    <cellStyle name="Normal 9 2 2 13" xfId="10769" xr:uid="{318D8DF9-7452-414E-8C1A-75B3746DF54A}"/>
    <cellStyle name="Normal 9 2 2 2" xfId="516" xr:uid="{00000000-0005-0000-0000-00009E030000}"/>
    <cellStyle name="Normal 9 2 2 2 10" xfId="2234" xr:uid="{E3D1F941-C082-4A6E-87F4-9412F10C9B11}"/>
    <cellStyle name="Normal 9 2 2 2 11" xfId="1404" xr:uid="{145D6177-D4BA-4299-B74E-DB673CE00D1C}"/>
    <cellStyle name="Normal 9 2 2 2 12" xfId="10770" xr:uid="{4AA97CD6-3BFB-4189-9424-BBF32887F495}"/>
    <cellStyle name="Normal 9 2 2 2 2" xfId="517" xr:uid="{00000000-0005-0000-0000-00009F030000}"/>
    <cellStyle name="Normal 9 2 2 2 2 10" xfId="1405" xr:uid="{12B6E3F3-43F2-4F1D-8E61-9D5773BAF7B1}"/>
    <cellStyle name="Normal 9 2 2 2 2 11" xfId="10771" xr:uid="{DF341F88-1F6A-47B0-8EFB-1C1B79AE47D7}"/>
    <cellStyle name="Normal 9 2 2 2 2 2" xfId="518" xr:uid="{00000000-0005-0000-0000-0000A0030000}"/>
    <cellStyle name="Normal 9 2 2 2 2 2 10" xfId="10772" xr:uid="{DE3A91C3-8907-4FD7-88FE-7733D38C1ABC}"/>
    <cellStyle name="Normal 9 2 2 2 2 2 2" xfId="990" xr:uid="{00000000-0005-0000-0000-0000A1030000}"/>
    <cellStyle name="Normal 9 2 2 2 2 2 2 2" xfId="4880" xr:uid="{7EC6CD97-4B77-45D4-A698-4FC212690029}"/>
    <cellStyle name="Normal 9 2 2 2 2 2 2 2 2" xfId="9098" xr:uid="{DD8D4F30-579E-499B-8BAB-B8F21883E99E}"/>
    <cellStyle name="Normal 9 2 2 2 2 2 2 3" xfId="6953" xr:uid="{808CEC3C-847E-45DF-AC0E-4868DDF2EC2C}"/>
    <cellStyle name="Normal 9 2 2 2 2 2 2 4" xfId="2651" xr:uid="{007F8371-6F00-4D21-A0FD-BB69FE317BA8}"/>
    <cellStyle name="Normal 9 2 2 2 2 2 2 5" xfId="1822" xr:uid="{291B2010-5DD4-4D24-A7D4-4285D1AF5705}"/>
    <cellStyle name="Normal 9 2 2 2 2 2 2 6" xfId="11188" xr:uid="{50CF3056-7209-4D91-91A5-9BF6D3A37574}"/>
    <cellStyle name="Normal 9 2 2 2 2 2 3" xfId="3064" xr:uid="{82E1B885-1C26-4B42-B33D-A08B35EDAD57}"/>
    <cellStyle name="Normal 9 2 2 2 2 2 3 2" xfId="5293" xr:uid="{23651910-785E-49A2-A7FE-0D1B06B73E0E}"/>
    <cellStyle name="Normal 9 2 2 2 2 2 3 2 2" xfId="9511" xr:uid="{135A98E1-C664-490B-A92B-57F3E6AE8F15}"/>
    <cellStyle name="Normal 9 2 2 2 2 2 3 3" xfId="7366" xr:uid="{04CEC941-7A4A-4679-B96E-094769638A5F}"/>
    <cellStyle name="Normal 9 2 2 2 2 2 4" xfId="3477" xr:uid="{935E6ABC-5328-4DC9-8828-5057405A4DAC}"/>
    <cellStyle name="Normal 9 2 2 2 2 2 4 2" xfId="5706" xr:uid="{E7792823-BF4E-4C87-8231-435AC804F658}"/>
    <cellStyle name="Normal 9 2 2 2 2 2 4 2 2" xfId="9924" xr:uid="{CE44DD5A-2E99-47B1-8A99-4578E1BB26D0}"/>
    <cellStyle name="Normal 9 2 2 2 2 2 4 3" xfId="7779" xr:uid="{50879C36-52A2-4CCC-A4F0-4FF5320DBE70}"/>
    <cellStyle name="Normal 9 2 2 2 2 2 5" xfId="3890" xr:uid="{DAD6E80A-B817-4E22-8F79-7F4177255BF9}"/>
    <cellStyle name="Normal 9 2 2 2 2 2 5 2" xfId="6119" xr:uid="{62D36D58-FB8C-4118-8563-4A1D9D48E08D}"/>
    <cellStyle name="Normal 9 2 2 2 2 2 5 2 2" xfId="10337" xr:uid="{0A5E7F70-FDC2-4DD8-B287-0809954F47F6}"/>
    <cellStyle name="Normal 9 2 2 2 2 2 5 3" xfId="8192" xr:uid="{2CCC0EA2-7836-4059-9113-3256322389A1}"/>
    <cellStyle name="Normal 9 2 2 2 2 2 6" xfId="4326" xr:uid="{93F0940A-0F43-48B3-8CE9-8CCC1D12B6CA}"/>
    <cellStyle name="Normal 9 2 2 2 2 2 6 2" xfId="8605" xr:uid="{404C8FE0-BE76-44C9-BC4D-48569A6D0264}"/>
    <cellStyle name="Normal 9 2 2 2 2 2 7" xfId="6540" xr:uid="{421A51A2-4359-46AC-803A-AFC9681C7035}"/>
    <cellStyle name="Normal 9 2 2 2 2 2 8" xfId="2236" xr:uid="{898679E1-E9BE-4C54-9F7E-2FD631B815FB}"/>
    <cellStyle name="Normal 9 2 2 2 2 2 9" xfId="1406" xr:uid="{9EBCB217-7C0E-44C7-BAB7-3BF6F0E151DD}"/>
    <cellStyle name="Normal 9 2 2 2 2 3" xfId="989" xr:uid="{00000000-0005-0000-0000-0000A2030000}"/>
    <cellStyle name="Normal 9 2 2 2 2 3 2" xfId="4879" xr:uid="{5D24A9A0-949C-4DA0-AF34-72BC95CA153B}"/>
    <cellStyle name="Normal 9 2 2 2 2 3 2 2" xfId="9097" xr:uid="{183D6DC2-ABAE-4C5A-92F6-47D3A3846266}"/>
    <cellStyle name="Normal 9 2 2 2 2 3 3" xfId="6952" xr:uid="{CA4B28EA-8192-4A65-856D-808DCC89F7D5}"/>
    <cellStyle name="Normal 9 2 2 2 2 3 4" xfId="2650" xr:uid="{181C214E-1DA6-4A9A-8487-8395621490B4}"/>
    <cellStyle name="Normal 9 2 2 2 2 3 5" xfId="1821" xr:uid="{88176314-34E1-4ECF-BB1E-36E1AFC090B3}"/>
    <cellStyle name="Normal 9 2 2 2 2 3 6" xfId="11187" xr:uid="{1B81440A-C44B-4AB3-B919-CD464C40E811}"/>
    <cellStyle name="Normal 9 2 2 2 2 4" xfId="3063" xr:uid="{4BADC9E8-B49A-44A1-BF4C-22C2BC4F32C0}"/>
    <cellStyle name="Normal 9 2 2 2 2 4 2" xfId="5292" xr:uid="{D47FDE49-3DF6-449A-9884-4004A9374A9B}"/>
    <cellStyle name="Normal 9 2 2 2 2 4 2 2" xfId="9510" xr:uid="{348E5865-F0DB-4F89-B424-648E5542A984}"/>
    <cellStyle name="Normal 9 2 2 2 2 4 3" xfId="7365" xr:uid="{3D4CB3DE-45DD-47BE-8DF8-C388379050E3}"/>
    <cellStyle name="Normal 9 2 2 2 2 5" xfId="3476" xr:uid="{7DA29244-03AD-49AC-AF80-B1E059D167A9}"/>
    <cellStyle name="Normal 9 2 2 2 2 5 2" xfId="5705" xr:uid="{290BF199-2F60-4950-86EE-4D0361DF50A5}"/>
    <cellStyle name="Normal 9 2 2 2 2 5 2 2" xfId="9923" xr:uid="{C7E89C3D-F57C-4AD7-8FB1-B26F870B0E02}"/>
    <cellStyle name="Normal 9 2 2 2 2 5 3" xfId="7778" xr:uid="{65E9AE5E-32E3-4138-9078-5C1D12E644CE}"/>
    <cellStyle name="Normal 9 2 2 2 2 6" xfId="3889" xr:uid="{3EF6F556-CB5F-4789-B1D9-31C80DF66A80}"/>
    <cellStyle name="Normal 9 2 2 2 2 6 2" xfId="6118" xr:uid="{18BC673A-5190-4B4F-B160-6C0C820AD653}"/>
    <cellStyle name="Normal 9 2 2 2 2 6 2 2" xfId="10336" xr:uid="{BB6CC175-EE66-45FB-B30D-8BA7537E5C52}"/>
    <cellStyle name="Normal 9 2 2 2 2 6 3" xfId="8191" xr:uid="{706C58B3-0D92-4752-99EC-86957FDFC44B}"/>
    <cellStyle name="Normal 9 2 2 2 2 7" xfId="4325" xr:uid="{672AF0CF-CB1A-4C68-AB7B-CEF57E5BBB26}"/>
    <cellStyle name="Normal 9 2 2 2 2 7 2" xfId="8604" xr:uid="{6D5563D4-E043-4A25-B93F-E3DDA41D51C4}"/>
    <cellStyle name="Normal 9 2 2 2 2 8" xfId="6539" xr:uid="{08C929B5-8DC9-444E-9D3F-B5A016D96A90}"/>
    <cellStyle name="Normal 9 2 2 2 2 9" xfId="2235" xr:uid="{230A5858-0708-4EB5-85EF-5A8968FD4348}"/>
    <cellStyle name="Normal 9 2 2 2 3" xfId="519" xr:uid="{00000000-0005-0000-0000-0000A3030000}"/>
    <cellStyle name="Normal 9 2 2 2 3 10" xfId="10773" xr:uid="{AF69340D-EAF9-48B3-9945-5B069BC287D9}"/>
    <cellStyle name="Normal 9 2 2 2 3 2" xfId="991" xr:uid="{00000000-0005-0000-0000-0000A4030000}"/>
    <cellStyle name="Normal 9 2 2 2 3 2 2" xfId="4881" xr:uid="{D75EBAEF-5954-400E-BD55-885306F6C987}"/>
    <cellStyle name="Normal 9 2 2 2 3 2 2 2" xfId="9099" xr:uid="{E0762C4A-0012-4919-B1D1-DF970DBF89A9}"/>
    <cellStyle name="Normal 9 2 2 2 3 2 3" xfId="6954" xr:uid="{46E85CA1-4FDA-4F5F-99B7-BC4C163AC2EB}"/>
    <cellStyle name="Normal 9 2 2 2 3 2 4" xfId="2652" xr:uid="{1F2D7EE8-1411-49DD-A4EE-99C71254A70C}"/>
    <cellStyle name="Normal 9 2 2 2 3 2 5" xfId="1823" xr:uid="{7E123D94-B7E1-4ECC-A7FD-64E54DD5A8DE}"/>
    <cellStyle name="Normal 9 2 2 2 3 2 6" xfId="11189" xr:uid="{421DEBA2-7BFE-483B-A9CA-D88D982B54D6}"/>
    <cellStyle name="Normal 9 2 2 2 3 3" xfId="3065" xr:uid="{E77FFA5F-E815-4A0E-9FC7-5986EA58ACF6}"/>
    <cellStyle name="Normal 9 2 2 2 3 3 2" xfId="5294" xr:uid="{B0F350D3-79B5-4353-98B7-3F36732A2C54}"/>
    <cellStyle name="Normal 9 2 2 2 3 3 2 2" xfId="9512" xr:uid="{01ADB895-3C20-4DE4-83A1-63A8E89D7710}"/>
    <cellStyle name="Normal 9 2 2 2 3 3 3" xfId="7367" xr:uid="{E4CFBA71-DF0B-4835-95C2-9ADB1D96244E}"/>
    <cellStyle name="Normal 9 2 2 2 3 4" xfId="3478" xr:uid="{B689BB43-BAD2-475C-AC78-8E2FDBF9162E}"/>
    <cellStyle name="Normal 9 2 2 2 3 4 2" xfId="5707" xr:uid="{92FB561F-0C81-4842-A66C-F9E379A186F8}"/>
    <cellStyle name="Normal 9 2 2 2 3 4 2 2" xfId="9925" xr:uid="{B343FEE3-0D95-411A-B92B-761AEE0AE58E}"/>
    <cellStyle name="Normal 9 2 2 2 3 4 3" xfId="7780" xr:uid="{8ACF40F5-4125-4E37-9E5A-E3214B186118}"/>
    <cellStyle name="Normal 9 2 2 2 3 5" xfId="3891" xr:uid="{8C189166-16A7-410B-9491-76DF19B7AA2C}"/>
    <cellStyle name="Normal 9 2 2 2 3 5 2" xfId="6120" xr:uid="{9F9D23A2-11CE-42D4-87A5-32E975730411}"/>
    <cellStyle name="Normal 9 2 2 2 3 5 2 2" xfId="10338" xr:uid="{E1FA36F5-548C-41F7-98E6-01ACF5BD0B84}"/>
    <cellStyle name="Normal 9 2 2 2 3 5 3" xfId="8193" xr:uid="{CDFB301C-9B26-4CB2-8180-5716A829565D}"/>
    <cellStyle name="Normal 9 2 2 2 3 6" xfId="4327" xr:uid="{DA423BDB-8B29-474F-BB23-EB3A32BDD21C}"/>
    <cellStyle name="Normal 9 2 2 2 3 6 2" xfId="8606" xr:uid="{81F51798-F0EF-400B-80D8-8B17150B049C}"/>
    <cellStyle name="Normal 9 2 2 2 3 7" xfId="6541" xr:uid="{D31EA783-BA20-4C98-9520-6827C9CFA172}"/>
    <cellStyle name="Normal 9 2 2 2 3 8" xfId="2237" xr:uid="{7D4C9971-43DE-4E69-B740-D27FE546E6CB}"/>
    <cellStyle name="Normal 9 2 2 2 3 9" xfId="1407" xr:uid="{0FB76E5B-04C2-4C6B-8A21-1B234AC866C1}"/>
    <cellStyle name="Normal 9 2 2 2 4" xfId="988" xr:uid="{00000000-0005-0000-0000-0000A5030000}"/>
    <cellStyle name="Normal 9 2 2 2 4 2" xfId="4878" xr:uid="{0D6C9465-9180-4CBC-A1F3-850A4E9EF2AA}"/>
    <cellStyle name="Normal 9 2 2 2 4 2 2" xfId="9096" xr:uid="{94E35504-8AF7-4BA5-9B80-8CED1F73F612}"/>
    <cellStyle name="Normal 9 2 2 2 4 3" xfId="6951" xr:uid="{1FF00B86-F231-42CF-949F-EAA454F08D20}"/>
    <cellStyle name="Normal 9 2 2 2 4 4" xfId="2649" xr:uid="{2930134D-517F-4ABB-A6E3-80D8E2CA066A}"/>
    <cellStyle name="Normal 9 2 2 2 4 5" xfId="1820" xr:uid="{93AD883F-3D63-459C-BBED-D388255058EE}"/>
    <cellStyle name="Normal 9 2 2 2 4 6" xfId="11186" xr:uid="{DD48AB63-187F-47C9-AF56-139227C4D694}"/>
    <cellStyle name="Normal 9 2 2 2 5" xfId="3062" xr:uid="{9E30B6B7-A8FE-4332-B8DF-40770B339F2C}"/>
    <cellStyle name="Normal 9 2 2 2 5 2" xfId="5291" xr:uid="{E1DBCC1A-445D-4D9C-9DFB-634D381378ED}"/>
    <cellStyle name="Normal 9 2 2 2 5 2 2" xfId="9509" xr:uid="{A5D4E1B5-324A-4196-B07E-D9D486C4DDEC}"/>
    <cellStyle name="Normal 9 2 2 2 5 3" xfId="7364" xr:uid="{F75B48F4-51D4-4064-8596-380CE0B18317}"/>
    <cellStyle name="Normal 9 2 2 2 6" xfId="3475" xr:uid="{70100186-BEF1-4A09-92A2-25D9C2C291D6}"/>
    <cellStyle name="Normal 9 2 2 2 6 2" xfId="5704" xr:uid="{3C876893-C000-4DCA-A32B-A6CE114B38C8}"/>
    <cellStyle name="Normal 9 2 2 2 6 2 2" xfId="9922" xr:uid="{A5D6B1AA-2641-40B5-BA88-F51BF0660B2D}"/>
    <cellStyle name="Normal 9 2 2 2 6 3" xfId="7777" xr:uid="{F84A3854-12AE-463F-9B85-0FFB0067AE2D}"/>
    <cellStyle name="Normal 9 2 2 2 7" xfId="3888" xr:uid="{04B46C61-0E42-4EC4-94F9-A730EF1BB16E}"/>
    <cellStyle name="Normal 9 2 2 2 7 2" xfId="6117" xr:uid="{32F23174-6D88-4E5F-A48B-5383F389FFC1}"/>
    <cellStyle name="Normal 9 2 2 2 7 2 2" xfId="10335" xr:uid="{EF28025C-40F2-4157-88C8-9E3098B7DF82}"/>
    <cellStyle name="Normal 9 2 2 2 7 3" xfId="8190" xr:uid="{82B31F93-34EA-4C95-94A4-F54A54294EA6}"/>
    <cellStyle name="Normal 9 2 2 2 8" xfId="4324" xr:uid="{4CC2FF86-CE45-4955-BB83-F2BA5F84C537}"/>
    <cellStyle name="Normal 9 2 2 2 8 2" xfId="8603" xr:uid="{D59838F8-19EF-468F-A632-E4B351F95B43}"/>
    <cellStyle name="Normal 9 2 2 2 9" xfId="6538" xr:uid="{3BB2D9C9-5610-4D68-83ED-9E6D22AB5C16}"/>
    <cellStyle name="Normal 9 2 2 3" xfId="520" xr:uid="{00000000-0005-0000-0000-0000A6030000}"/>
    <cellStyle name="Normal 9 2 2 3 10" xfId="1408" xr:uid="{69A52749-0319-42AE-B44D-AA96E28B1418}"/>
    <cellStyle name="Normal 9 2 2 3 11" xfId="10774" xr:uid="{C817F0DD-6BD6-42CC-A30E-5D61E77B0B37}"/>
    <cellStyle name="Normal 9 2 2 3 2" xfId="521" xr:uid="{00000000-0005-0000-0000-0000A7030000}"/>
    <cellStyle name="Normal 9 2 2 3 2 10" xfId="10775" xr:uid="{DE883F92-EEB6-4873-960B-6B06FF1A4A1A}"/>
    <cellStyle name="Normal 9 2 2 3 2 2" xfId="993" xr:uid="{00000000-0005-0000-0000-0000A8030000}"/>
    <cellStyle name="Normal 9 2 2 3 2 2 2" xfId="4883" xr:uid="{26C28C96-D9E0-467B-ACA5-8836A1047871}"/>
    <cellStyle name="Normal 9 2 2 3 2 2 2 2" xfId="9101" xr:uid="{CA24B2E9-805A-4EB2-856A-B888FD76AA5D}"/>
    <cellStyle name="Normal 9 2 2 3 2 2 3" xfId="6956" xr:uid="{9ED3130C-E5FE-4100-8878-85FE450DE897}"/>
    <cellStyle name="Normal 9 2 2 3 2 2 4" xfId="2654" xr:uid="{D08F21BC-F254-4EF1-9EBC-87AA5E3287B9}"/>
    <cellStyle name="Normal 9 2 2 3 2 2 5" xfId="1825" xr:uid="{E3F62021-7E49-42E3-B00C-584AFAB45298}"/>
    <cellStyle name="Normal 9 2 2 3 2 2 6" xfId="11191" xr:uid="{5A0B25B0-1B11-4ABD-B03C-51C6528BCCA0}"/>
    <cellStyle name="Normal 9 2 2 3 2 3" xfId="3067" xr:uid="{445FBCC6-A75E-4C71-BF91-7DF764DD48D7}"/>
    <cellStyle name="Normal 9 2 2 3 2 3 2" xfId="5296" xr:uid="{D1FE420C-B4B4-4E1D-8967-39AE4F5A0153}"/>
    <cellStyle name="Normal 9 2 2 3 2 3 2 2" xfId="9514" xr:uid="{415B922C-547C-40F4-B42A-6A3C827CB5F3}"/>
    <cellStyle name="Normal 9 2 2 3 2 3 3" xfId="7369" xr:uid="{B2973191-D833-4326-8ADD-B4A81438E405}"/>
    <cellStyle name="Normal 9 2 2 3 2 4" xfId="3480" xr:uid="{41832168-0E6A-4DCC-B845-5D4EFAACBAEC}"/>
    <cellStyle name="Normal 9 2 2 3 2 4 2" xfId="5709" xr:uid="{76A2104E-8344-4D25-811B-5FC28814CBD2}"/>
    <cellStyle name="Normal 9 2 2 3 2 4 2 2" xfId="9927" xr:uid="{B6D42A82-E492-4B5D-B7B4-D934101DD584}"/>
    <cellStyle name="Normal 9 2 2 3 2 4 3" xfId="7782" xr:uid="{8E7A63B4-26CC-4422-AC25-D8270A7F8393}"/>
    <cellStyle name="Normal 9 2 2 3 2 5" xfId="3893" xr:uid="{CD41FBE9-0131-4CEF-9F43-5B78F0E2962A}"/>
    <cellStyle name="Normal 9 2 2 3 2 5 2" xfId="6122" xr:uid="{CC8B74BA-6FF0-4069-B50A-F2F97FAF6ACA}"/>
    <cellStyle name="Normal 9 2 2 3 2 5 2 2" xfId="10340" xr:uid="{C89135BF-22EC-4BC0-8DF0-1BD4A6F77FD6}"/>
    <cellStyle name="Normal 9 2 2 3 2 5 3" xfId="8195" xr:uid="{4139B5CA-A126-4DD2-99E9-0E4B3F9CC60B}"/>
    <cellStyle name="Normal 9 2 2 3 2 6" xfId="4329" xr:uid="{7FE7CE9A-91A4-4620-83D4-E72AC513B448}"/>
    <cellStyle name="Normal 9 2 2 3 2 6 2" xfId="8608" xr:uid="{F622E567-BC7C-4363-84B6-797FC7D4F056}"/>
    <cellStyle name="Normal 9 2 2 3 2 7" xfId="6543" xr:uid="{BB166A82-6DEF-457E-9BFD-FAD3063782E2}"/>
    <cellStyle name="Normal 9 2 2 3 2 8" xfId="2239" xr:uid="{5D0AB9D5-3D2B-49C9-AB32-CCCC428A9EB1}"/>
    <cellStyle name="Normal 9 2 2 3 2 9" xfId="1409" xr:uid="{6844CBEE-96C9-4A4A-9F5E-96029FF6F481}"/>
    <cellStyle name="Normal 9 2 2 3 3" xfId="992" xr:uid="{00000000-0005-0000-0000-0000A9030000}"/>
    <cellStyle name="Normal 9 2 2 3 3 2" xfId="4882" xr:uid="{EAFE17D7-F6AE-4558-87D9-91040E2986AB}"/>
    <cellStyle name="Normal 9 2 2 3 3 2 2" xfId="9100" xr:uid="{10E86811-E590-4FAE-8F74-825F30488DE4}"/>
    <cellStyle name="Normal 9 2 2 3 3 3" xfId="6955" xr:uid="{39EBB9AD-9332-4566-AC8E-C50EB01FB4E7}"/>
    <cellStyle name="Normal 9 2 2 3 3 4" xfId="2653" xr:uid="{5A4AB8D0-7302-4236-8F4B-CABC7285F100}"/>
    <cellStyle name="Normal 9 2 2 3 3 5" xfId="1824" xr:uid="{9122B414-FE0C-4E77-BE85-308021E40C01}"/>
    <cellStyle name="Normal 9 2 2 3 3 6" xfId="11190" xr:uid="{CC11A05A-71E6-42D6-AD20-B692B708E264}"/>
    <cellStyle name="Normal 9 2 2 3 4" xfId="3066" xr:uid="{C259975E-0132-4CE7-AC7A-CBE5A9CC7EAD}"/>
    <cellStyle name="Normal 9 2 2 3 4 2" xfId="5295" xr:uid="{B94E883D-995D-4AF9-951E-2B1B5BB90354}"/>
    <cellStyle name="Normal 9 2 2 3 4 2 2" xfId="9513" xr:uid="{28C4EC74-1AE4-440A-B126-7F6BCC9A7ECA}"/>
    <cellStyle name="Normal 9 2 2 3 4 3" xfId="7368" xr:uid="{9C6E76C7-8577-4906-8338-74D8F81F29DC}"/>
    <cellStyle name="Normal 9 2 2 3 5" xfId="3479" xr:uid="{75F6488F-4818-4B5E-867B-2B5978900B3C}"/>
    <cellStyle name="Normal 9 2 2 3 5 2" xfId="5708" xr:uid="{76EBCE50-D507-4268-AF04-5E6618996667}"/>
    <cellStyle name="Normal 9 2 2 3 5 2 2" xfId="9926" xr:uid="{FE7B7F41-38DD-46A4-935E-4EFDFD43AD7B}"/>
    <cellStyle name="Normal 9 2 2 3 5 3" xfId="7781" xr:uid="{EE3AE316-FCA5-4FBC-9C8E-19C81D073EF9}"/>
    <cellStyle name="Normal 9 2 2 3 6" xfId="3892" xr:uid="{0CC02DB7-DD7D-4461-B28D-A1FC20A296A5}"/>
    <cellStyle name="Normal 9 2 2 3 6 2" xfId="6121" xr:uid="{3E6DC092-10C6-4A7E-8B92-57787C928C47}"/>
    <cellStyle name="Normal 9 2 2 3 6 2 2" xfId="10339" xr:uid="{5376647E-F4CF-494B-A29A-EE5ADBA1937D}"/>
    <cellStyle name="Normal 9 2 2 3 6 3" xfId="8194" xr:uid="{CC60FECC-C128-48CD-89A5-1AABFAAFA807}"/>
    <cellStyle name="Normal 9 2 2 3 7" xfId="4328" xr:uid="{69CDE730-C95F-4DA1-8DD5-8D9AF7C68D01}"/>
    <cellStyle name="Normal 9 2 2 3 7 2" xfId="8607" xr:uid="{5DC86746-FB2F-4FFB-A2DA-9E88CA7E4ADF}"/>
    <cellStyle name="Normal 9 2 2 3 8" xfId="6542" xr:uid="{E23028FB-E271-4316-9A09-6CA75AF4A411}"/>
    <cellStyle name="Normal 9 2 2 3 9" xfId="2238" xr:uid="{BAE7D446-12A4-408F-9CAB-36A835E9452E}"/>
    <cellStyle name="Normal 9 2 2 4" xfId="522" xr:uid="{00000000-0005-0000-0000-0000AA030000}"/>
    <cellStyle name="Normal 9 2 2 4 10" xfId="10776" xr:uid="{DA9A0DE8-3A42-423A-AB94-ABFB31A99D74}"/>
    <cellStyle name="Normal 9 2 2 4 2" xfId="994" xr:uid="{00000000-0005-0000-0000-0000AB030000}"/>
    <cellStyle name="Normal 9 2 2 4 2 2" xfId="4884" xr:uid="{7D2BEA7E-2E08-44C3-AA35-7A091F4B6700}"/>
    <cellStyle name="Normal 9 2 2 4 2 2 2" xfId="9102" xr:uid="{65BF56F7-6516-4104-84FB-5B87AD479C3B}"/>
    <cellStyle name="Normal 9 2 2 4 2 3" xfId="6957" xr:uid="{85DBA87A-D875-4C7E-BAB4-ADDB17A24A13}"/>
    <cellStyle name="Normal 9 2 2 4 2 4" xfId="2655" xr:uid="{08AE37B2-6455-4CF2-818F-BE0335665A66}"/>
    <cellStyle name="Normal 9 2 2 4 2 5" xfId="1826" xr:uid="{935E9179-375B-4559-9B4C-4E60C7D4ECAE}"/>
    <cellStyle name="Normal 9 2 2 4 2 6" xfId="11192" xr:uid="{DCC37775-1060-408D-84A2-32C2C1DF8A9D}"/>
    <cellStyle name="Normal 9 2 2 4 3" xfId="3068" xr:uid="{5A9C88B1-D241-47A0-B298-072557D5326F}"/>
    <cellStyle name="Normal 9 2 2 4 3 2" xfId="5297" xr:uid="{141BC5B7-EF4B-43D8-A1B8-AA92D0F07781}"/>
    <cellStyle name="Normal 9 2 2 4 3 2 2" xfId="9515" xr:uid="{AA01C1A8-A8C4-4FA0-B625-A670E5870F94}"/>
    <cellStyle name="Normal 9 2 2 4 3 3" xfId="7370" xr:uid="{D4386AB9-79AA-46E2-93F9-39E6CE3DBF42}"/>
    <cellStyle name="Normal 9 2 2 4 4" xfId="3481" xr:uid="{26594A81-EA48-4074-8A2D-0E23858A4CEC}"/>
    <cellStyle name="Normal 9 2 2 4 4 2" xfId="5710" xr:uid="{A77D5E51-4C9E-4CA3-85D8-B2E16D42BFB1}"/>
    <cellStyle name="Normal 9 2 2 4 4 2 2" xfId="9928" xr:uid="{8DE35B62-01DF-432C-B2C1-78FAFF9E65B0}"/>
    <cellStyle name="Normal 9 2 2 4 4 3" xfId="7783" xr:uid="{EF90004D-BD37-4853-91F6-4CA56C3BDCED}"/>
    <cellStyle name="Normal 9 2 2 4 5" xfId="3894" xr:uid="{F5FDEB0A-472F-4458-BC1F-91211C053459}"/>
    <cellStyle name="Normal 9 2 2 4 5 2" xfId="6123" xr:uid="{4BDABCB2-B77C-44A4-9405-6A8756E4D523}"/>
    <cellStyle name="Normal 9 2 2 4 5 2 2" xfId="10341" xr:uid="{72C0AAB5-B347-4355-B588-D55BE3A5A905}"/>
    <cellStyle name="Normal 9 2 2 4 5 3" xfId="8196" xr:uid="{30A19D9D-BAFB-4406-B29F-1E432E1753E0}"/>
    <cellStyle name="Normal 9 2 2 4 6" xfId="4330" xr:uid="{08506B2A-71D2-4166-8201-C6C2002B6FB0}"/>
    <cellStyle name="Normal 9 2 2 4 6 2" xfId="8609" xr:uid="{96783A2F-A6AD-4EC2-8F57-8EAF967B176C}"/>
    <cellStyle name="Normal 9 2 2 4 7" xfId="6544" xr:uid="{DFA2AC6A-4183-423C-9173-38978BAE0FCC}"/>
    <cellStyle name="Normal 9 2 2 4 8" xfId="2240" xr:uid="{47BEBA3F-2C81-4E6D-BEF0-EA7E5AB941D6}"/>
    <cellStyle name="Normal 9 2 2 4 9" xfId="1410" xr:uid="{4A47C643-AA3C-485F-81AF-F38470969E2A}"/>
    <cellStyle name="Normal 9 2 2 5" xfId="987" xr:uid="{00000000-0005-0000-0000-0000AC030000}"/>
    <cellStyle name="Normal 9 2 2 5 2" xfId="4877" xr:uid="{A2C6F0B4-B610-4355-B933-44E28C41D24A}"/>
    <cellStyle name="Normal 9 2 2 5 2 2" xfId="9095" xr:uid="{4E0DC61D-10FE-411D-9187-D37B6F7FFADA}"/>
    <cellStyle name="Normal 9 2 2 5 3" xfId="6950" xr:uid="{16BFA355-6BCC-4FC7-BB23-526A9856B4BC}"/>
    <cellStyle name="Normal 9 2 2 5 4" xfId="2648" xr:uid="{2ACD37CF-19FC-4024-8483-F6FA52ADF0AF}"/>
    <cellStyle name="Normal 9 2 2 5 5" xfId="1819" xr:uid="{7F7BEA54-8C7A-4440-BBC3-7F24B734B203}"/>
    <cellStyle name="Normal 9 2 2 5 6" xfId="11185" xr:uid="{AB5327D5-3001-45DC-A285-B04C08FCB2A7}"/>
    <cellStyle name="Normal 9 2 2 6" xfId="3061" xr:uid="{559D3903-8C64-4F97-803D-55AE3A98C063}"/>
    <cellStyle name="Normal 9 2 2 6 2" xfId="5290" xr:uid="{54BA2ED0-E0BE-4FDA-A99A-518B932B21AA}"/>
    <cellStyle name="Normal 9 2 2 6 2 2" xfId="9508" xr:uid="{5EBE0700-9D33-4EF7-B73B-6754ED16D806}"/>
    <cellStyle name="Normal 9 2 2 6 3" xfId="7363" xr:uid="{5EA5B417-09EB-4120-9FDF-DBC521654147}"/>
    <cellStyle name="Normal 9 2 2 7" xfId="3474" xr:uid="{EAB1D912-F138-40AC-82A0-7858205AF719}"/>
    <cellStyle name="Normal 9 2 2 7 2" xfId="5703" xr:uid="{6FA3813F-7961-447F-B845-11D3CC8FA403}"/>
    <cellStyle name="Normal 9 2 2 7 2 2" xfId="9921" xr:uid="{95CA9B21-9F60-430E-94D5-70767E325331}"/>
    <cellStyle name="Normal 9 2 2 7 3" xfId="7776" xr:uid="{FDF0F8E1-45FF-4AEA-BD0C-5B2A85F93541}"/>
    <cellStyle name="Normal 9 2 2 8" xfId="3887" xr:uid="{103A7170-08D0-4EA6-AD2F-EDAAEDBF63DD}"/>
    <cellStyle name="Normal 9 2 2 8 2" xfId="6116" xr:uid="{6CDEAD12-5461-45AA-9572-E7E25EC997BB}"/>
    <cellStyle name="Normal 9 2 2 8 2 2" xfId="10334" xr:uid="{D7C0898B-49E2-47DF-AE46-28138070C02B}"/>
    <cellStyle name="Normal 9 2 2 8 3" xfId="8189" xr:uid="{2DAED026-98BB-40C0-BFE4-75515EDF88B6}"/>
    <cellStyle name="Normal 9 2 2 9" xfId="4323" xr:uid="{C3B8D097-C7C5-41E4-BC49-F66C729EAE89}"/>
    <cellStyle name="Normal 9 2 2 9 2" xfId="8602" xr:uid="{89B8262A-6D3B-4C86-9EB0-E6629F3F8DEB}"/>
    <cellStyle name="Normal 9 2 3" xfId="523" xr:uid="{00000000-0005-0000-0000-0000AD030000}"/>
    <cellStyle name="Normal 9 2 3 10" xfId="2241" xr:uid="{BCEBDC96-F34F-4C6B-9C38-40644879F6A4}"/>
    <cellStyle name="Normal 9 2 3 11" xfId="1411" xr:uid="{97CE9F7B-193C-4B30-85AE-5E1D4EDEFB4A}"/>
    <cellStyle name="Normal 9 2 3 12" xfId="10777" xr:uid="{E472FEA7-607E-4B1C-8940-06EEBB6CF4E7}"/>
    <cellStyle name="Normal 9 2 3 2" xfId="524" xr:uid="{00000000-0005-0000-0000-0000AE030000}"/>
    <cellStyle name="Normal 9 2 3 2 10" xfId="1412" xr:uid="{11D7F757-3689-4023-9A88-15A9B5406D31}"/>
    <cellStyle name="Normal 9 2 3 2 11" xfId="10778" xr:uid="{B06628BD-0654-4F20-A719-B0FA36B5A298}"/>
    <cellStyle name="Normal 9 2 3 2 2" xfId="525" xr:uid="{00000000-0005-0000-0000-0000AF030000}"/>
    <cellStyle name="Normal 9 2 3 2 2 10" xfId="10779" xr:uid="{3433CADA-6F70-4802-8FBE-ED2C9BBAE07D}"/>
    <cellStyle name="Normal 9 2 3 2 2 2" xfId="997" xr:uid="{00000000-0005-0000-0000-0000B0030000}"/>
    <cellStyle name="Normal 9 2 3 2 2 2 2" xfId="4887" xr:uid="{5D0501BD-E15C-40A1-B8E6-AF76F642067A}"/>
    <cellStyle name="Normal 9 2 3 2 2 2 2 2" xfId="9105" xr:uid="{35DFC479-C150-4A60-82F3-1024EC0DBCC9}"/>
    <cellStyle name="Normal 9 2 3 2 2 2 3" xfId="6960" xr:uid="{D8ED59E4-736B-42D9-AC3C-10A3CF574B56}"/>
    <cellStyle name="Normal 9 2 3 2 2 2 4" xfId="2658" xr:uid="{30EB6F8F-7AB0-4DB2-B6C8-5CA29702799B}"/>
    <cellStyle name="Normal 9 2 3 2 2 2 5" xfId="1829" xr:uid="{C22BF69B-355F-418E-8C18-3409E767A09C}"/>
    <cellStyle name="Normal 9 2 3 2 2 2 6" xfId="11195" xr:uid="{045AEC1E-DC38-42D8-80CA-A7676547A343}"/>
    <cellStyle name="Normal 9 2 3 2 2 3" xfId="3071" xr:uid="{054C3A10-D50B-487E-9256-92DA6B54ACA3}"/>
    <cellStyle name="Normal 9 2 3 2 2 3 2" xfId="5300" xr:uid="{D9C8B170-F01E-4807-AF96-3991E109F717}"/>
    <cellStyle name="Normal 9 2 3 2 2 3 2 2" xfId="9518" xr:uid="{DD4FC415-7D75-4B57-B24A-470428E99C8A}"/>
    <cellStyle name="Normal 9 2 3 2 2 3 3" xfId="7373" xr:uid="{BC9B3728-EEC3-4301-A30A-F72440C59240}"/>
    <cellStyle name="Normal 9 2 3 2 2 4" xfId="3484" xr:uid="{BD492F1D-1479-442E-9844-2C494FFD7CFA}"/>
    <cellStyle name="Normal 9 2 3 2 2 4 2" xfId="5713" xr:uid="{0DD3C42B-5D6E-4C5E-8ADC-67BADC0C3DF4}"/>
    <cellStyle name="Normal 9 2 3 2 2 4 2 2" xfId="9931" xr:uid="{A59593BC-AE36-4A94-B227-BCB62142B705}"/>
    <cellStyle name="Normal 9 2 3 2 2 4 3" xfId="7786" xr:uid="{194DB8CB-22C1-4C24-A9AA-0C6C910ED824}"/>
    <cellStyle name="Normal 9 2 3 2 2 5" xfId="3897" xr:uid="{CE69FB00-3BD1-41FD-854A-51EC4EA7BE05}"/>
    <cellStyle name="Normal 9 2 3 2 2 5 2" xfId="6126" xr:uid="{0F4F85E6-402F-44CF-9794-731E5C1C8103}"/>
    <cellStyle name="Normal 9 2 3 2 2 5 2 2" xfId="10344" xr:uid="{98E8D3C3-1F18-42DA-8C82-B2FE5E23D98F}"/>
    <cellStyle name="Normal 9 2 3 2 2 5 3" xfId="8199" xr:uid="{5F2D129E-C1D6-4282-B6E1-95EB64C9A181}"/>
    <cellStyle name="Normal 9 2 3 2 2 6" xfId="4333" xr:uid="{8731C7BD-002F-4C6E-91B8-5AB0FFF2D35F}"/>
    <cellStyle name="Normal 9 2 3 2 2 6 2" xfId="8612" xr:uid="{3176C355-7851-45AC-834B-AEFD3D6A8C35}"/>
    <cellStyle name="Normal 9 2 3 2 2 7" xfId="6547" xr:uid="{F75502B5-106A-4D81-BBA1-14BD5BCC23E5}"/>
    <cellStyle name="Normal 9 2 3 2 2 8" xfId="2243" xr:uid="{25B22643-685C-41A6-996E-49C7640980F0}"/>
    <cellStyle name="Normal 9 2 3 2 2 9" xfId="1413" xr:uid="{7BBF49D2-E861-49F3-B357-936C2535D366}"/>
    <cellStyle name="Normal 9 2 3 2 3" xfId="996" xr:uid="{00000000-0005-0000-0000-0000B1030000}"/>
    <cellStyle name="Normal 9 2 3 2 3 2" xfId="4886" xr:uid="{C39540AD-5F91-40DD-85E9-DD9D24B6D78F}"/>
    <cellStyle name="Normal 9 2 3 2 3 2 2" xfId="9104" xr:uid="{7356F8E3-8C47-4A8B-80BF-B84F1E68F7EB}"/>
    <cellStyle name="Normal 9 2 3 2 3 3" xfId="6959" xr:uid="{B9146B53-EE1A-4C71-AC72-FC32682EDB91}"/>
    <cellStyle name="Normal 9 2 3 2 3 4" xfId="2657" xr:uid="{A6BCF098-B476-4963-AA73-42B05D7F0ACD}"/>
    <cellStyle name="Normal 9 2 3 2 3 5" xfId="1828" xr:uid="{B5CB032A-41C2-4CB2-B4DB-C60F7ADEB399}"/>
    <cellStyle name="Normal 9 2 3 2 3 6" xfId="11194" xr:uid="{20DBF6A3-7217-450C-B5BE-D5456776C134}"/>
    <cellStyle name="Normal 9 2 3 2 4" xfId="3070" xr:uid="{11AA1756-E279-4108-B2C8-B325D4435DDB}"/>
    <cellStyle name="Normal 9 2 3 2 4 2" xfId="5299" xr:uid="{264AFD1B-D350-46D0-B0CF-20C5CED8378E}"/>
    <cellStyle name="Normal 9 2 3 2 4 2 2" xfId="9517" xr:uid="{B814391B-EDC1-4879-A843-567B06EF3AD8}"/>
    <cellStyle name="Normal 9 2 3 2 4 3" xfId="7372" xr:uid="{4124F9B6-999B-4EB1-A81C-EB856F3201E7}"/>
    <cellStyle name="Normal 9 2 3 2 5" xfId="3483" xr:uid="{7437868C-AA45-40FA-B9E3-284ED8D81891}"/>
    <cellStyle name="Normal 9 2 3 2 5 2" xfId="5712" xr:uid="{917540F9-DBE8-4B1B-BD29-499AE47E94B0}"/>
    <cellStyle name="Normal 9 2 3 2 5 2 2" xfId="9930" xr:uid="{9112D4AB-8FFD-4791-8436-4379702B610C}"/>
    <cellStyle name="Normal 9 2 3 2 5 3" xfId="7785" xr:uid="{582C1EC6-7149-4462-BB2B-6A2CE4DFDEBA}"/>
    <cellStyle name="Normal 9 2 3 2 6" xfId="3896" xr:uid="{F924AF0B-3315-441C-BFCE-870303375D89}"/>
    <cellStyle name="Normal 9 2 3 2 6 2" xfId="6125" xr:uid="{95AD251A-AE99-4771-BEA9-6FCBB3E08B42}"/>
    <cellStyle name="Normal 9 2 3 2 6 2 2" xfId="10343" xr:uid="{63D6B81F-4279-4823-B5F0-AFE3D3DEFFFB}"/>
    <cellStyle name="Normal 9 2 3 2 6 3" xfId="8198" xr:uid="{81E7E8C5-6E87-44CF-906D-0DB7B62848AA}"/>
    <cellStyle name="Normal 9 2 3 2 7" xfId="4332" xr:uid="{80CD85D0-69E1-4DBF-A1EE-12091C20A613}"/>
    <cellStyle name="Normal 9 2 3 2 7 2" xfId="8611" xr:uid="{239273E4-5A4C-4BA9-BA45-9782D31DC8F9}"/>
    <cellStyle name="Normal 9 2 3 2 8" xfId="6546" xr:uid="{911DE234-8E70-4D1D-BF48-2827DE33B8A2}"/>
    <cellStyle name="Normal 9 2 3 2 9" xfId="2242" xr:uid="{43CCEDE6-8326-4F8F-A789-8A614B2832EB}"/>
    <cellStyle name="Normal 9 2 3 3" xfId="526" xr:uid="{00000000-0005-0000-0000-0000B2030000}"/>
    <cellStyle name="Normal 9 2 3 3 10" xfId="10780" xr:uid="{2ABC76F1-8784-49D2-B713-A9DA34019315}"/>
    <cellStyle name="Normal 9 2 3 3 2" xfId="998" xr:uid="{00000000-0005-0000-0000-0000B3030000}"/>
    <cellStyle name="Normal 9 2 3 3 2 2" xfId="4888" xr:uid="{6F52BD61-6B65-46A5-A175-EB79BA704E97}"/>
    <cellStyle name="Normal 9 2 3 3 2 2 2" xfId="9106" xr:uid="{21D7BE9B-1886-48BE-A0E0-08284CD8B496}"/>
    <cellStyle name="Normal 9 2 3 3 2 3" xfId="6961" xr:uid="{0015118F-C6F9-4862-88F2-F42A76399464}"/>
    <cellStyle name="Normal 9 2 3 3 2 4" xfId="2659" xr:uid="{483FB16F-8AD8-4881-9F3E-62113442A4D0}"/>
    <cellStyle name="Normal 9 2 3 3 2 5" xfId="1830" xr:uid="{6F0AD7D3-B342-4E74-BDF2-CB7F25FFC06A}"/>
    <cellStyle name="Normal 9 2 3 3 2 6" xfId="11196" xr:uid="{0637352C-6E81-4E95-B293-3802AE544A55}"/>
    <cellStyle name="Normal 9 2 3 3 3" xfId="3072" xr:uid="{59685D79-B8A8-45A4-8582-8C5D885CB5AF}"/>
    <cellStyle name="Normal 9 2 3 3 3 2" xfId="5301" xr:uid="{E36652F8-91E3-4C81-873A-AAD072618C09}"/>
    <cellStyle name="Normal 9 2 3 3 3 2 2" xfId="9519" xr:uid="{AB01959B-ED99-4E78-A751-EDF0B363410F}"/>
    <cellStyle name="Normal 9 2 3 3 3 3" xfId="7374" xr:uid="{D7124144-B079-4B35-A02D-3C0B0AD6CE02}"/>
    <cellStyle name="Normal 9 2 3 3 4" xfId="3485" xr:uid="{0BACA35F-D710-43EE-95BD-B986EE78B4D9}"/>
    <cellStyle name="Normal 9 2 3 3 4 2" xfId="5714" xr:uid="{4DA9929F-11C5-4147-B2E1-9211B8F0F3A1}"/>
    <cellStyle name="Normal 9 2 3 3 4 2 2" xfId="9932" xr:uid="{42022ED7-ABC0-4AC5-8B24-7D04C866CE13}"/>
    <cellStyle name="Normal 9 2 3 3 4 3" xfId="7787" xr:uid="{D5089893-E8E8-4029-82AA-C7E4440AEAED}"/>
    <cellStyle name="Normal 9 2 3 3 5" xfId="3898" xr:uid="{B2A39FC2-2430-4BFB-8396-E2A96199A9B9}"/>
    <cellStyle name="Normal 9 2 3 3 5 2" xfId="6127" xr:uid="{A7914B58-3D27-45F7-A5B2-7984FB429395}"/>
    <cellStyle name="Normal 9 2 3 3 5 2 2" xfId="10345" xr:uid="{E298E7BC-D6EA-441A-B0D8-59023CA5BF9D}"/>
    <cellStyle name="Normal 9 2 3 3 5 3" xfId="8200" xr:uid="{D2C649C6-9439-4B85-B00A-821154D05B57}"/>
    <cellStyle name="Normal 9 2 3 3 6" xfId="4334" xr:uid="{CED9440E-0C80-4A77-A3F8-1FEBF8290D55}"/>
    <cellStyle name="Normal 9 2 3 3 6 2" xfId="8613" xr:uid="{E5D618FC-7312-4952-91BA-BED244CD4DA8}"/>
    <cellStyle name="Normal 9 2 3 3 7" xfId="6548" xr:uid="{5FC588BF-606A-4D27-98A1-7216746051D3}"/>
    <cellStyle name="Normal 9 2 3 3 8" xfId="2244" xr:uid="{7CEE9D27-0ACA-4822-9306-A37B6904CE84}"/>
    <cellStyle name="Normal 9 2 3 3 9" xfId="1414" xr:uid="{0CE9ED48-1AE6-42E9-BDA2-8643845ADC0E}"/>
    <cellStyle name="Normal 9 2 3 4" xfId="995" xr:uid="{00000000-0005-0000-0000-0000B4030000}"/>
    <cellStyle name="Normal 9 2 3 4 2" xfId="4885" xr:uid="{C5CAC72E-340E-422F-98F3-3E2E843C2C89}"/>
    <cellStyle name="Normal 9 2 3 4 2 2" xfId="9103" xr:uid="{97F62D5E-CC5E-40B6-89BA-3E8E2306A00D}"/>
    <cellStyle name="Normal 9 2 3 4 3" xfId="6958" xr:uid="{58EBADB7-5F42-4685-8F3F-45C538B4B23D}"/>
    <cellStyle name="Normal 9 2 3 4 4" xfId="2656" xr:uid="{B6AEFC3A-473A-4546-95F0-0ABB6E3F3CDF}"/>
    <cellStyle name="Normal 9 2 3 4 5" xfId="1827" xr:uid="{8C757F92-03E9-4F86-8D64-303BA49931B1}"/>
    <cellStyle name="Normal 9 2 3 4 6" xfId="11193" xr:uid="{0E07C36A-57B5-4B93-BB1C-F5A3F99EAB80}"/>
    <cellStyle name="Normal 9 2 3 5" xfId="3069" xr:uid="{5129011D-9DB9-41E6-A5AF-01A2DFCD17B5}"/>
    <cellStyle name="Normal 9 2 3 5 2" xfId="5298" xr:uid="{EA7770BA-419D-455B-B7B6-E417542DE90F}"/>
    <cellStyle name="Normal 9 2 3 5 2 2" xfId="9516" xr:uid="{2FCC2536-5CA9-485C-9D53-8B6EDB49C0E1}"/>
    <cellStyle name="Normal 9 2 3 5 3" xfId="7371" xr:uid="{AC338602-0976-47B4-92B9-5A09065E50BC}"/>
    <cellStyle name="Normal 9 2 3 6" xfId="3482" xr:uid="{E2429CBA-87ED-4E2E-B093-77B1570E178F}"/>
    <cellStyle name="Normal 9 2 3 6 2" xfId="5711" xr:uid="{551DCD9B-D96B-4CDD-91E2-C1A5972C4D47}"/>
    <cellStyle name="Normal 9 2 3 6 2 2" xfId="9929" xr:uid="{CE093232-8920-437C-A3DA-B314437B9DB2}"/>
    <cellStyle name="Normal 9 2 3 6 3" xfId="7784" xr:uid="{FE1F945C-8EAE-4B1A-BEA1-CC05CEA308E5}"/>
    <cellStyle name="Normal 9 2 3 7" xfId="3895" xr:uid="{D4A24483-D3BB-4B68-AB0D-37D8A4C1C539}"/>
    <cellStyle name="Normal 9 2 3 7 2" xfId="6124" xr:uid="{6BBB36E5-EF5D-4664-9D27-2D5C8625508D}"/>
    <cellStyle name="Normal 9 2 3 7 2 2" xfId="10342" xr:uid="{8147251D-3F20-4D0E-B8B1-5624D2A9A5A4}"/>
    <cellStyle name="Normal 9 2 3 7 3" xfId="8197" xr:uid="{DBB074F6-E198-4B4F-A7F3-4EDAE2B95858}"/>
    <cellStyle name="Normal 9 2 3 8" xfId="4331" xr:uid="{65B03305-08CA-4303-99EF-9AA961AC8C31}"/>
    <cellStyle name="Normal 9 2 3 8 2" xfId="8610" xr:uid="{BDE10648-C5A3-4F1D-950D-B6903DCD7AB1}"/>
    <cellStyle name="Normal 9 2 3 9" xfId="6545" xr:uid="{5D020608-AC5D-4E98-9EE6-9A5A714A14EA}"/>
    <cellStyle name="Normal 9 2 4" xfId="527" xr:uid="{00000000-0005-0000-0000-0000B5030000}"/>
    <cellStyle name="Normal 9 2 4 10" xfId="1415" xr:uid="{57523FFF-2CE3-4370-8C9F-55EED9A19750}"/>
    <cellStyle name="Normal 9 2 4 11" xfId="10781" xr:uid="{72CB5B5A-52BA-40E2-8E17-A6B99EB18E3B}"/>
    <cellStyle name="Normal 9 2 4 2" xfId="528" xr:uid="{00000000-0005-0000-0000-0000B6030000}"/>
    <cellStyle name="Normal 9 2 4 2 10" xfId="10782" xr:uid="{735EA914-3C65-4EF4-B5BA-87FE5EA80025}"/>
    <cellStyle name="Normal 9 2 4 2 2" xfId="1000" xr:uid="{00000000-0005-0000-0000-0000B7030000}"/>
    <cellStyle name="Normal 9 2 4 2 2 2" xfId="4890" xr:uid="{54D76376-F6DE-4970-8162-D9D9FFDEAE62}"/>
    <cellStyle name="Normal 9 2 4 2 2 2 2" xfId="9108" xr:uid="{B2C87CDE-2157-4E38-BF5E-D62CCF4F3DE4}"/>
    <cellStyle name="Normal 9 2 4 2 2 3" xfId="6963" xr:uid="{324D3792-4D79-4A10-B886-1AA1BAF6FD38}"/>
    <cellStyle name="Normal 9 2 4 2 2 4" xfId="2661" xr:uid="{856971AE-7102-4A4A-867C-673DAFF809AC}"/>
    <cellStyle name="Normal 9 2 4 2 2 5" xfId="1832" xr:uid="{AAF0B4C6-E595-48DB-A129-FEA06520E71D}"/>
    <cellStyle name="Normal 9 2 4 2 2 6" xfId="11198" xr:uid="{606A8D5C-4C61-46F7-9D13-F773B656FC2A}"/>
    <cellStyle name="Normal 9 2 4 2 3" xfId="3074" xr:uid="{4F0A8700-7949-49BE-A8D6-D81D63324BEA}"/>
    <cellStyle name="Normal 9 2 4 2 3 2" xfId="5303" xr:uid="{A50906CD-D3AA-4B7B-94ED-57260B91E17A}"/>
    <cellStyle name="Normal 9 2 4 2 3 2 2" xfId="9521" xr:uid="{1A165E40-F096-4603-AC5A-22F2DF7C5DC4}"/>
    <cellStyle name="Normal 9 2 4 2 3 3" xfId="7376" xr:uid="{909557E3-F4BC-4E4C-9D6A-F52FB187822C}"/>
    <cellStyle name="Normal 9 2 4 2 4" xfId="3487" xr:uid="{9B265F50-2B5F-4114-9426-0E42EEC6D879}"/>
    <cellStyle name="Normal 9 2 4 2 4 2" xfId="5716" xr:uid="{85A375B3-2410-4EA1-ABA2-12976A07C641}"/>
    <cellStyle name="Normal 9 2 4 2 4 2 2" xfId="9934" xr:uid="{DCECAFD9-9760-43A8-AB8B-801A18907C2C}"/>
    <cellStyle name="Normal 9 2 4 2 4 3" xfId="7789" xr:uid="{819CEFFD-BA1E-45CB-BFD6-E30CD98678A6}"/>
    <cellStyle name="Normal 9 2 4 2 5" xfId="3900" xr:uid="{91CD9506-58FC-45C8-98E8-4E7E70970585}"/>
    <cellStyle name="Normal 9 2 4 2 5 2" xfId="6129" xr:uid="{12FAB914-6328-45DF-A2E8-A3D3AC959FB5}"/>
    <cellStyle name="Normal 9 2 4 2 5 2 2" xfId="10347" xr:uid="{F069BA2F-1720-456B-B9D8-A9E151894671}"/>
    <cellStyle name="Normal 9 2 4 2 5 3" xfId="8202" xr:uid="{EFFAE82A-3DE3-43B0-A111-5A9FBB40E578}"/>
    <cellStyle name="Normal 9 2 4 2 6" xfId="4336" xr:uid="{716941E4-5E49-4244-A24C-835510C448FB}"/>
    <cellStyle name="Normal 9 2 4 2 6 2" xfId="8615" xr:uid="{0981CA64-EC18-471D-9CA3-D681CBF9DCD2}"/>
    <cellStyle name="Normal 9 2 4 2 7" xfId="6550" xr:uid="{A4D8936E-A71E-4C2A-9131-9B19211D7C32}"/>
    <cellStyle name="Normal 9 2 4 2 8" xfId="2246" xr:uid="{A7667CE3-1B38-4CF8-866A-3557C10C6171}"/>
    <cellStyle name="Normal 9 2 4 2 9" xfId="1416" xr:uid="{62B188C2-104A-484F-BABD-5A34136B9B49}"/>
    <cellStyle name="Normal 9 2 4 3" xfId="999" xr:uid="{00000000-0005-0000-0000-0000B8030000}"/>
    <cellStyle name="Normal 9 2 4 3 2" xfId="4889" xr:uid="{A1D9F853-09C7-46E7-A798-54C088799254}"/>
    <cellStyle name="Normal 9 2 4 3 2 2" xfId="9107" xr:uid="{9F8C896A-3B53-4CDA-8485-EBC37219C508}"/>
    <cellStyle name="Normal 9 2 4 3 3" xfId="6962" xr:uid="{03AB0069-4227-4EB9-B6B1-5C0C700DBCB6}"/>
    <cellStyle name="Normal 9 2 4 3 4" xfId="2660" xr:uid="{E2CBDE13-E358-4DE1-AA7E-7D527D1ED62D}"/>
    <cellStyle name="Normal 9 2 4 3 5" xfId="1831" xr:uid="{A908C586-2013-4136-9BE2-298F43E30838}"/>
    <cellStyle name="Normal 9 2 4 3 6" xfId="11197" xr:uid="{7A2AA14D-69B8-450E-849C-EEC4E2734445}"/>
    <cellStyle name="Normal 9 2 4 4" xfId="3073" xr:uid="{3E1927F1-DF88-4270-AF58-820A462F55A7}"/>
    <cellStyle name="Normal 9 2 4 4 2" xfId="5302" xr:uid="{B35A2D0F-DDD5-4C45-9068-004D18F8D9B0}"/>
    <cellStyle name="Normal 9 2 4 4 2 2" xfId="9520" xr:uid="{B4D1A4F5-BABC-4AB1-A281-D7BB8F293035}"/>
    <cellStyle name="Normal 9 2 4 4 3" xfId="7375" xr:uid="{B8E7CE14-3AE0-4502-8DDB-A7557A4B32C1}"/>
    <cellStyle name="Normal 9 2 4 5" xfId="3486" xr:uid="{995C47E1-5569-4373-A464-E413DBD0409D}"/>
    <cellStyle name="Normal 9 2 4 5 2" xfId="5715" xr:uid="{24AC18C4-957D-47AF-990E-F0B0F6A962C6}"/>
    <cellStyle name="Normal 9 2 4 5 2 2" xfId="9933" xr:uid="{65A99A46-BB1A-4650-B639-B8821CACF7B2}"/>
    <cellStyle name="Normal 9 2 4 5 3" xfId="7788" xr:uid="{5DDC7B52-DD38-4513-8361-858C9EC0A2BA}"/>
    <cellStyle name="Normal 9 2 4 6" xfId="3899" xr:uid="{F1C50CD7-BCD4-4186-B4B8-77632530F03D}"/>
    <cellStyle name="Normal 9 2 4 6 2" xfId="6128" xr:uid="{AAEE3EFF-A23B-4EAC-946C-0D072890C546}"/>
    <cellStyle name="Normal 9 2 4 6 2 2" xfId="10346" xr:uid="{B53222BA-E7FE-48A3-AE7C-0205414F948C}"/>
    <cellStyle name="Normal 9 2 4 6 3" xfId="8201" xr:uid="{898D5C2C-F78C-45DF-876F-5F3280CD24E5}"/>
    <cellStyle name="Normal 9 2 4 7" xfId="4335" xr:uid="{A5BCE0FC-931D-470D-981B-5835FBBF0335}"/>
    <cellStyle name="Normal 9 2 4 7 2" xfId="8614" xr:uid="{781C39B4-5613-4C8A-BAEB-67527F57E856}"/>
    <cellStyle name="Normal 9 2 4 8" xfId="6549" xr:uid="{CC3528B8-2699-43B4-ADEB-27DE0BFA014D}"/>
    <cellStyle name="Normal 9 2 4 9" xfId="2245" xr:uid="{65830F65-BE73-4A28-8C52-EB4ED76CD9AB}"/>
    <cellStyle name="Normal 9 2 5" xfId="529" xr:uid="{00000000-0005-0000-0000-0000B9030000}"/>
    <cellStyle name="Normal 9 2 5 10" xfId="10783" xr:uid="{041D3832-5571-4AB1-9DDD-BC108EAA8311}"/>
    <cellStyle name="Normal 9 2 5 2" xfId="1001" xr:uid="{00000000-0005-0000-0000-0000BA030000}"/>
    <cellStyle name="Normal 9 2 5 2 2" xfId="4891" xr:uid="{AB097D69-E78E-4A86-A988-51748348A838}"/>
    <cellStyle name="Normal 9 2 5 2 2 2" xfId="9109" xr:uid="{A57F0297-9C84-4BC0-9773-EC8792077D37}"/>
    <cellStyle name="Normal 9 2 5 2 3" xfId="6964" xr:uid="{9B23C488-C9A1-448E-B547-291A3C5A1CF8}"/>
    <cellStyle name="Normal 9 2 5 2 4" xfId="2662" xr:uid="{3F8C5EF8-91D2-4CEC-9D71-D05D4B53D5FE}"/>
    <cellStyle name="Normal 9 2 5 2 5" xfId="1833" xr:uid="{97E6C9C6-05D5-4095-9B04-08E2ED21B780}"/>
    <cellStyle name="Normal 9 2 5 2 6" xfId="11199" xr:uid="{C9F2A7F0-67FC-4AD0-828B-490A8248FE65}"/>
    <cellStyle name="Normal 9 2 5 3" xfId="3075" xr:uid="{68AF59FF-0853-4354-B6FD-6D4AB3578BEB}"/>
    <cellStyle name="Normal 9 2 5 3 2" xfId="5304" xr:uid="{24A165A6-39EF-4ECF-BD89-476B36B1E62C}"/>
    <cellStyle name="Normal 9 2 5 3 2 2" xfId="9522" xr:uid="{2D797D4A-132A-45C3-B769-EEBF01749AA2}"/>
    <cellStyle name="Normal 9 2 5 3 3" xfId="7377" xr:uid="{B780049A-B9C5-4446-B858-BF1DAD7888DE}"/>
    <cellStyle name="Normal 9 2 5 4" xfId="3488" xr:uid="{CEB103E7-9C81-4EDD-B4FF-31F0A2014603}"/>
    <cellStyle name="Normal 9 2 5 4 2" xfId="5717" xr:uid="{5513D720-FBAB-455F-91F5-4D571743E9C3}"/>
    <cellStyle name="Normal 9 2 5 4 2 2" xfId="9935" xr:uid="{74B0E115-D8D2-4DE9-B5B0-C7048B45387B}"/>
    <cellStyle name="Normal 9 2 5 4 3" xfId="7790" xr:uid="{EEA9AAAC-E527-4846-A59E-6F8510ABF58D}"/>
    <cellStyle name="Normal 9 2 5 5" xfId="3901" xr:uid="{27BD7598-E731-4007-A3BA-8A4E109E5B30}"/>
    <cellStyle name="Normal 9 2 5 5 2" xfId="6130" xr:uid="{CF76499E-CC21-4487-9CCE-231CE3156604}"/>
    <cellStyle name="Normal 9 2 5 5 2 2" xfId="10348" xr:uid="{69391832-F9B3-46D8-9758-04500A3211C2}"/>
    <cellStyle name="Normal 9 2 5 5 3" xfId="8203" xr:uid="{E8BD2D61-5707-4063-8F73-C8850DD3CF60}"/>
    <cellStyle name="Normal 9 2 5 6" xfId="4337" xr:uid="{999404A2-3B37-421F-8557-DD073EE83A11}"/>
    <cellStyle name="Normal 9 2 5 6 2" xfId="8616" xr:uid="{3299491C-4140-4313-B28F-A490A2F909B2}"/>
    <cellStyle name="Normal 9 2 5 7" xfId="6551" xr:uid="{A1FB7127-476B-46AE-B0F5-05F3BCCC3733}"/>
    <cellStyle name="Normal 9 2 5 8" xfId="2247" xr:uid="{FBEE0D65-E084-446D-8A20-12D206C2C3E3}"/>
    <cellStyle name="Normal 9 2 5 9" xfId="1417" xr:uid="{BAFEA8DE-1DD6-467A-B7C1-7C1454B6CA22}"/>
    <cellStyle name="Normal 9 2 6" xfId="986" xr:uid="{00000000-0005-0000-0000-0000BB030000}"/>
    <cellStyle name="Normal 9 2 6 2" xfId="4876" xr:uid="{6FA2F04E-2D47-41ED-B609-A0FAB38AF48E}"/>
    <cellStyle name="Normal 9 2 6 2 2" xfId="9094" xr:uid="{8E77FE5F-6B31-4C6F-8476-9111F3460156}"/>
    <cellStyle name="Normal 9 2 6 3" xfId="6949" xr:uid="{8140F81D-2BCD-4F79-9974-BA0D956006F6}"/>
    <cellStyle name="Normal 9 2 6 4" xfId="2647" xr:uid="{4D3D73C9-1BEC-42D6-A76A-B20E75CBA3AE}"/>
    <cellStyle name="Normal 9 2 6 5" xfId="1818" xr:uid="{DDEC6189-78D2-4800-A903-A0D2D92025F1}"/>
    <cellStyle name="Normal 9 2 6 6" xfId="11184" xr:uid="{0D516712-FA84-4F06-9718-E380F6B37A7F}"/>
    <cellStyle name="Normal 9 2 7" xfId="3060" xr:uid="{63AA3022-A8AB-482D-8321-975B5C1EB68C}"/>
    <cellStyle name="Normal 9 2 7 2" xfId="5289" xr:uid="{50BB75DF-8D69-4087-8281-4DE2B764CAA9}"/>
    <cellStyle name="Normal 9 2 7 2 2" xfId="9507" xr:uid="{37803D1D-EECD-425B-99BB-736FD85F0521}"/>
    <cellStyle name="Normal 9 2 7 3" xfId="7362" xr:uid="{3707E3FC-9644-4CD0-9870-9B992287B15E}"/>
    <cellStyle name="Normal 9 2 8" xfId="3473" xr:uid="{4F862DD1-6867-4788-B163-992DE676338A}"/>
    <cellStyle name="Normal 9 2 8 2" xfId="5702" xr:uid="{38D84B3A-9BBB-4FDA-98D7-A8AE0FC2106B}"/>
    <cellStyle name="Normal 9 2 8 2 2" xfId="9920" xr:uid="{180106A3-C9BE-4E4D-AD9A-D451A17FFB58}"/>
    <cellStyle name="Normal 9 2 8 3" xfId="7775" xr:uid="{BE36D6F5-1E68-491F-BFEE-D743770742FF}"/>
    <cellStyle name="Normal 9 2 9" xfId="3886" xr:uid="{B2550881-36F6-4B4E-A860-95F26223EAD0}"/>
    <cellStyle name="Normal 9 2 9 2" xfId="6115" xr:uid="{8455CBC9-A237-4F7C-A66E-1C3FFBB66E93}"/>
    <cellStyle name="Normal 9 2 9 2 2" xfId="10333" xr:uid="{441DC551-5308-4590-91CE-42CA0199EE56}"/>
    <cellStyle name="Normal 9 2 9 3" xfId="8188" xr:uid="{4ECD24F7-0159-435E-8CA0-24451DFC4ED7}"/>
    <cellStyle name="Normal 9 3" xfId="530" xr:uid="{00000000-0005-0000-0000-0000BC030000}"/>
    <cellStyle name="Normal 9 3 10" xfId="6552" xr:uid="{479CD768-DA81-41DC-B551-2DBD2EFD6EBB}"/>
    <cellStyle name="Normal 9 3 11" xfId="2248" xr:uid="{63F2C40D-BD2F-4C1B-95E3-6E6199D9A8CD}"/>
    <cellStyle name="Normal 9 3 12" xfId="1418" xr:uid="{991A43A9-F723-472C-ABA4-49F700305D82}"/>
    <cellStyle name="Normal 9 3 13" xfId="10784" xr:uid="{0EBE988E-28DB-4435-9528-42D655297065}"/>
    <cellStyle name="Normal 9 3 2" xfId="531" xr:uid="{00000000-0005-0000-0000-0000BD030000}"/>
    <cellStyle name="Normal 9 3 2 10" xfId="2249" xr:uid="{41E6AEB4-4899-48A1-BD9E-A3BDD0A089DF}"/>
    <cellStyle name="Normal 9 3 2 11" xfId="1419" xr:uid="{CDF5434C-8365-41B2-8A09-FC8A51DD7762}"/>
    <cellStyle name="Normal 9 3 2 12" xfId="10785" xr:uid="{93CBA4C8-73DB-4606-BDA4-14ABE3580270}"/>
    <cellStyle name="Normal 9 3 2 2" xfId="532" xr:uid="{00000000-0005-0000-0000-0000BE030000}"/>
    <cellStyle name="Normal 9 3 2 2 10" xfId="1420" xr:uid="{5E94A142-2E31-4C97-A4AC-C4EA4C3B7E00}"/>
    <cellStyle name="Normal 9 3 2 2 11" xfId="10786" xr:uid="{FD920B93-5CA2-40A5-A65B-C914C5215E49}"/>
    <cellStyle name="Normal 9 3 2 2 2" xfId="533" xr:uid="{00000000-0005-0000-0000-0000BF030000}"/>
    <cellStyle name="Normal 9 3 2 2 2 10" xfId="10787" xr:uid="{061050FE-1BF9-4783-A3DD-B87ED44100C0}"/>
    <cellStyle name="Normal 9 3 2 2 2 2" xfId="1005" xr:uid="{00000000-0005-0000-0000-0000C0030000}"/>
    <cellStyle name="Normal 9 3 2 2 2 2 2" xfId="4895" xr:uid="{18472F6C-4DC3-4560-8253-A39D5B180709}"/>
    <cellStyle name="Normal 9 3 2 2 2 2 2 2" xfId="9113" xr:uid="{6F10F320-8A98-4173-B052-E16447C122A3}"/>
    <cellStyle name="Normal 9 3 2 2 2 2 3" xfId="6968" xr:uid="{34CFE82C-F6AA-4B1D-8DFB-3FEADAF53AB6}"/>
    <cellStyle name="Normal 9 3 2 2 2 2 4" xfId="2666" xr:uid="{9B9C3C66-8CC0-4CDD-A845-8D0732187663}"/>
    <cellStyle name="Normal 9 3 2 2 2 2 5" xfId="1837" xr:uid="{D62FDC96-4300-49B9-8B5C-6BACB6C501C8}"/>
    <cellStyle name="Normal 9 3 2 2 2 2 6" xfId="11203" xr:uid="{F20012A5-26B8-436C-B0D9-17EAC9273FD5}"/>
    <cellStyle name="Normal 9 3 2 2 2 3" xfId="3079" xr:uid="{6BBA1545-DA82-4AB7-96A9-74F0DA8E4851}"/>
    <cellStyle name="Normal 9 3 2 2 2 3 2" xfId="5308" xr:uid="{62173AB6-0CEF-4A05-9303-2683EF5C15D6}"/>
    <cellStyle name="Normal 9 3 2 2 2 3 2 2" xfId="9526" xr:uid="{41B8BC1A-971C-45F6-A539-9081884B4D14}"/>
    <cellStyle name="Normal 9 3 2 2 2 3 3" xfId="7381" xr:uid="{E3DE76A8-2EF0-4703-99AA-371944AF3DE0}"/>
    <cellStyle name="Normal 9 3 2 2 2 4" xfId="3492" xr:uid="{F401E8D8-C18B-4824-90E1-C0DC5B21797E}"/>
    <cellStyle name="Normal 9 3 2 2 2 4 2" xfId="5721" xr:uid="{BF827C8B-1A5F-45AC-9157-0B520333BD7B}"/>
    <cellStyle name="Normal 9 3 2 2 2 4 2 2" xfId="9939" xr:uid="{51A35646-BE42-444F-9F4A-B876AE0EE76B}"/>
    <cellStyle name="Normal 9 3 2 2 2 4 3" xfId="7794" xr:uid="{C9141BCD-40BE-4578-A03C-40794D9204C8}"/>
    <cellStyle name="Normal 9 3 2 2 2 5" xfId="3905" xr:uid="{2B84B9E3-FA2C-40FD-83BA-920327D6165E}"/>
    <cellStyle name="Normal 9 3 2 2 2 5 2" xfId="6134" xr:uid="{A8304DE3-DCEB-487F-9CE3-30934C796535}"/>
    <cellStyle name="Normal 9 3 2 2 2 5 2 2" xfId="10352" xr:uid="{6C6BBD0D-C39A-4220-9144-E92475681E86}"/>
    <cellStyle name="Normal 9 3 2 2 2 5 3" xfId="8207" xr:uid="{A8B87779-C29E-4115-94AA-AFD0A868B27F}"/>
    <cellStyle name="Normal 9 3 2 2 2 6" xfId="4341" xr:uid="{98BF1B46-E2DF-4350-A010-572413DC64E7}"/>
    <cellStyle name="Normal 9 3 2 2 2 6 2" xfId="8620" xr:uid="{51DE08D5-B738-47FB-91A6-9A8F193FB768}"/>
    <cellStyle name="Normal 9 3 2 2 2 7" xfId="6555" xr:uid="{21D083AE-D946-4DDD-8A29-D3BEA5897705}"/>
    <cellStyle name="Normal 9 3 2 2 2 8" xfId="2251" xr:uid="{B6E9301D-AF28-453E-A9EB-3AE7843C7F98}"/>
    <cellStyle name="Normal 9 3 2 2 2 9" xfId="1421" xr:uid="{BA9578D4-94BB-43B1-94B2-3C572A59B50A}"/>
    <cellStyle name="Normal 9 3 2 2 3" xfId="1004" xr:uid="{00000000-0005-0000-0000-0000C1030000}"/>
    <cellStyle name="Normal 9 3 2 2 3 2" xfId="4894" xr:uid="{93B1C635-922A-410F-ACF3-A18F299C9961}"/>
    <cellStyle name="Normal 9 3 2 2 3 2 2" xfId="9112" xr:uid="{0C0C807B-6FED-4FE3-BB0D-0205493186CA}"/>
    <cellStyle name="Normal 9 3 2 2 3 3" xfId="6967" xr:uid="{99F3706B-4860-47BE-A98A-52466D316D69}"/>
    <cellStyle name="Normal 9 3 2 2 3 4" xfId="2665" xr:uid="{5BA50DBE-05C1-4B1F-ACE8-3252E412372A}"/>
    <cellStyle name="Normal 9 3 2 2 3 5" xfId="1836" xr:uid="{7A1155E6-B5B3-46EC-9331-F2520F56699B}"/>
    <cellStyle name="Normal 9 3 2 2 3 6" xfId="11202" xr:uid="{E59990C0-C81C-4A89-8B13-270B6885B347}"/>
    <cellStyle name="Normal 9 3 2 2 4" xfId="3078" xr:uid="{3BE32DBA-300E-40A6-A888-B35417B8A77C}"/>
    <cellStyle name="Normal 9 3 2 2 4 2" xfId="5307" xr:uid="{FA9C69C6-BAED-4E69-9D0A-ED42EDDE9CF8}"/>
    <cellStyle name="Normal 9 3 2 2 4 2 2" xfId="9525" xr:uid="{5639A50D-58B4-43F1-8A4D-D5F2A94261F0}"/>
    <cellStyle name="Normal 9 3 2 2 4 3" xfId="7380" xr:uid="{25BD23B4-E136-4765-94F4-9EBBF91E3F32}"/>
    <cellStyle name="Normal 9 3 2 2 5" xfId="3491" xr:uid="{852E1C8E-F631-4612-9ECC-D66B22CB170F}"/>
    <cellStyle name="Normal 9 3 2 2 5 2" xfId="5720" xr:uid="{AB896D03-8C21-43D0-91FC-3625BEF6939C}"/>
    <cellStyle name="Normal 9 3 2 2 5 2 2" xfId="9938" xr:uid="{C93E4D2B-18FA-4111-875B-E25F7744DC8A}"/>
    <cellStyle name="Normal 9 3 2 2 5 3" xfId="7793" xr:uid="{95585B30-8986-4793-B2B7-C871700AF190}"/>
    <cellStyle name="Normal 9 3 2 2 6" xfId="3904" xr:uid="{ED5FF815-AE55-4261-A1CD-BB1486EA2DDC}"/>
    <cellStyle name="Normal 9 3 2 2 6 2" xfId="6133" xr:uid="{392A0349-E8CD-4430-B036-3D88C219E05C}"/>
    <cellStyle name="Normal 9 3 2 2 6 2 2" xfId="10351" xr:uid="{EFA4184E-4204-44F1-AD1A-8D8147490FBA}"/>
    <cellStyle name="Normal 9 3 2 2 6 3" xfId="8206" xr:uid="{6C2CB0EE-7B4A-427C-925C-2566B5D1F218}"/>
    <cellStyle name="Normal 9 3 2 2 7" xfId="4340" xr:uid="{E20F4CFF-708C-40FA-B57F-36AE8F0EA781}"/>
    <cellStyle name="Normal 9 3 2 2 7 2" xfId="8619" xr:uid="{05D8E409-E34C-4BF3-A606-D59321F640A6}"/>
    <cellStyle name="Normal 9 3 2 2 8" xfId="6554" xr:uid="{C1F89A43-EA83-456C-9476-F3876E4B8ECC}"/>
    <cellStyle name="Normal 9 3 2 2 9" xfId="2250" xr:uid="{D95E11F5-DEC4-48F1-B11A-3BCEF3D17E38}"/>
    <cellStyle name="Normal 9 3 2 3" xfId="534" xr:uid="{00000000-0005-0000-0000-0000C2030000}"/>
    <cellStyle name="Normal 9 3 2 3 10" xfId="10788" xr:uid="{56C839F2-FAC1-410A-B17D-F324A37E9B2F}"/>
    <cellStyle name="Normal 9 3 2 3 2" xfId="1006" xr:uid="{00000000-0005-0000-0000-0000C3030000}"/>
    <cellStyle name="Normal 9 3 2 3 2 2" xfId="4896" xr:uid="{04B9DE21-EFC0-409C-887E-3383052D00EB}"/>
    <cellStyle name="Normal 9 3 2 3 2 2 2" xfId="9114" xr:uid="{1D477C27-58E8-4239-B1FE-82BAE0EFDC7F}"/>
    <cellStyle name="Normal 9 3 2 3 2 3" xfId="6969" xr:uid="{16DAD134-C163-44FF-BE06-34FCB466398B}"/>
    <cellStyle name="Normal 9 3 2 3 2 4" xfId="2667" xr:uid="{7BE124E9-F89F-4029-9279-6DC072B25222}"/>
    <cellStyle name="Normal 9 3 2 3 2 5" xfId="1838" xr:uid="{EF363CA1-D5E5-4D16-8132-C7AC0FB70F67}"/>
    <cellStyle name="Normal 9 3 2 3 2 6" xfId="11204" xr:uid="{6B24485B-1BEE-42A6-A3CB-73B656F5D64C}"/>
    <cellStyle name="Normal 9 3 2 3 3" xfId="3080" xr:uid="{8DBB5609-E34D-48F5-AC69-DCFA310B6F62}"/>
    <cellStyle name="Normal 9 3 2 3 3 2" xfId="5309" xr:uid="{71D92233-8AC8-4D6C-8973-D08FFED01EEF}"/>
    <cellStyle name="Normal 9 3 2 3 3 2 2" xfId="9527" xr:uid="{7BA97E9B-B85C-4138-AF6D-B6D86756B2EF}"/>
    <cellStyle name="Normal 9 3 2 3 3 3" xfId="7382" xr:uid="{F492699F-0FD2-43A2-B20F-DB40B9ECF01D}"/>
    <cellStyle name="Normal 9 3 2 3 4" xfId="3493" xr:uid="{5F32741D-8A92-491F-B16B-3A282C7CBA13}"/>
    <cellStyle name="Normal 9 3 2 3 4 2" xfId="5722" xr:uid="{CAD5D598-3D9A-45F0-A2D0-639367A1A0DB}"/>
    <cellStyle name="Normal 9 3 2 3 4 2 2" xfId="9940" xr:uid="{99AF9E08-DB22-40F8-8364-16E943D780CA}"/>
    <cellStyle name="Normal 9 3 2 3 4 3" xfId="7795" xr:uid="{88739801-630C-44AD-8C86-C6C00F3ADEDA}"/>
    <cellStyle name="Normal 9 3 2 3 5" xfId="3906" xr:uid="{1D9E0EA4-6276-48FA-948D-F5DC7966A1B0}"/>
    <cellStyle name="Normal 9 3 2 3 5 2" xfId="6135" xr:uid="{411D26D3-E643-4F29-BD7B-079B4800840F}"/>
    <cellStyle name="Normal 9 3 2 3 5 2 2" xfId="10353" xr:uid="{E286EBAE-72A1-46BF-901E-A08980A512DC}"/>
    <cellStyle name="Normal 9 3 2 3 5 3" xfId="8208" xr:uid="{B31D5596-87D4-42CD-BEB3-3E2ED9A703F2}"/>
    <cellStyle name="Normal 9 3 2 3 6" xfId="4342" xr:uid="{1D3F24D7-D43F-40CD-830E-7CFF2623D22F}"/>
    <cellStyle name="Normal 9 3 2 3 6 2" xfId="8621" xr:uid="{A353C822-9436-4323-B669-BA2036C3531A}"/>
    <cellStyle name="Normal 9 3 2 3 7" xfId="6556" xr:uid="{14DA5B70-EA1A-4C8A-BC4F-212CA8AECD1B}"/>
    <cellStyle name="Normal 9 3 2 3 8" xfId="2252" xr:uid="{DD72E3A0-F314-41B3-AE07-5A8152DF1EF7}"/>
    <cellStyle name="Normal 9 3 2 3 9" xfId="1422" xr:uid="{40C9E155-68A7-45FB-ABE1-284DC362CD23}"/>
    <cellStyle name="Normal 9 3 2 4" xfId="1003" xr:uid="{00000000-0005-0000-0000-0000C4030000}"/>
    <cellStyle name="Normal 9 3 2 4 2" xfId="4893" xr:uid="{2808F35A-78CF-4C6C-8915-42566EC24F28}"/>
    <cellStyle name="Normal 9 3 2 4 2 2" xfId="9111" xr:uid="{B95A690E-8C89-4635-A622-4CFE62C60B62}"/>
    <cellStyle name="Normal 9 3 2 4 3" xfId="6966" xr:uid="{00939E5D-BFB7-4AE9-839E-56E7795FA05A}"/>
    <cellStyle name="Normal 9 3 2 4 4" xfId="2664" xr:uid="{3B092728-6309-4EA3-AECF-64C4056EB271}"/>
    <cellStyle name="Normal 9 3 2 4 5" xfId="1835" xr:uid="{6911511D-EC38-459C-AE57-194CC7AEE48A}"/>
    <cellStyle name="Normal 9 3 2 4 6" xfId="11201" xr:uid="{50EF439A-531A-4200-A5E8-1E92732C69FB}"/>
    <cellStyle name="Normal 9 3 2 5" xfId="3077" xr:uid="{E14E18BC-E6EE-4E72-A2DE-257F6BA5348A}"/>
    <cellStyle name="Normal 9 3 2 5 2" xfId="5306" xr:uid="{ADAF01A0-73DE-42A3-A5CE-63EC52CEFFBA}"/>
    <cellStyle name="Normal 9 3 2 5 2 2" xfId="9524" xr:uid="{02698417-92FD-4F8C-A4D3-1CF5F7807F83}"/>
    <cellStyle name="Normal 9 3 2 5 3" xfId="7379" xr:uid="{B6AEF419-AC5E-41DA-88E3-1DD809EFFD5B}"/>
    <cellStyle name="Normal 9 3 2 6" xfId="3490" xr:uid="{55FFA2A8-9978-4655-B5AB-5CD9E61DC0C6}"/>
    <cellStyle name="Normal 9 3 2 6 2" xfId="5719" xr:uid="{B41658FA-6E11-42FF-ACDF-C6E06E00B56D}"/>
    <cellStyle name="Normal 9 3 2 6 2 2" xfId="9937" xr:uid="{EBF53C33-4975-47A3-9A1B-4F1694B5852B}"/>
    <cellStyle name="Normal 9 3 2 6 3" xfId="7792" xr:uid="{D631879A-0B3A-4CAC-ACF9-62D1FC53F443}"/>
    <cellStyle name="Normal 9 3 2 7" xfId="3903" xr:uid="{2C7C0ED8-64E7-4DE2-8CC8-22562B48AD07}"/>
    <cellStyle name="Normal 9 3 2 7 2" xfId="6132" xr:uid="{C51BD0C5-D624-40A7-BBA1-6C958229DB11}"/>
    <cellStyle name="Normal 9 3 2 7 2 2" xfId="10350" xr:uid="{257D4F74-A53F-451C-AEDF-80D98ECD51C4}"/>
    <cellStyle name="Normal 9 3 2 7 3" xfId="8205" xr:uid="{CE7E4613-DB73-47BD-986D-08632D8605A8}"/>
    <cellStyle name="Normal 9 3 2 8" xfId="4339" xr:uid="{E258E10C-9B6B-4275-BDE0-31D18E70B8A6}"/>
    <cellStyle name="Normal 9 3 2 8 2" xfId="8618" xr:uid="{B5849969-AE2D-4019-9B91-91D6C92FE4CA}"/>
    <cellStyle name="Normal 9 3 2 9" xfId="6553" xr:uid="{E50978E7-BD85-46A1-85BE-B96DDE9E0ABC}"/>
    <cellStyle name="Normal 9 3 3" xfId="535" xr:uid="{00000000-0005-0000-0000-0000C5030000}"/>
    <cellStyle name="Normal 9 3 3 10" xfId="1423" xr:uid="{DC0DB9E1-878F-4DCC-B104-4ECCCCCB8A81}"/>
    <cellStyle name="Normal 9 3 3 11" xfId="10789" xr:uid="{586DE55E-138D-4117-87A0-D6E250629CAC}"/>
    <cellStyle name="Normal 9 3 3 2" xfId="536" xr:uid="{00000000-0005-0000-0000-0000C6030000}"/>
    <cellStyle name="Normal 9 3 3 2 10" xfId="10790" xr:uid="{6E6FBE19-1ADE-4D5F-8589-D1ABF2A6729F}"/>
    <cellStyle name="Normal 9 3 3 2 2" xfId="1008" xr:uid="{00000000-0005-0000-0000-0000C7030000}"/>
    <cellStyle name="Normal 9 3 3 2 2 2" xfId="4898" xr:uid="{F6798CDE-3157-4BE0-8A40-1EB550FD1469}"/>
    <cellStyle name="Normal 9 3 3 2 2 2 2" xfId="9116" xr:uid="{1631BBE1-E970-4871-8793-C8C65FE91D2D}"/>
    <cellStyle name="Normal 9 3 3 2 2 3" xfId="6971" xr:uid="{8389F948-408A-496C-8F1D-09E1825C7CCF}"/>
    <cellStyle name="Normal 9 3 3 2 2 4" xfId="2669" xr:uid="{52E4F92B-8239-43D8-BFBA-DB25BF8116B1}"/>
    <cellStyle name="Normal 9 3 3 2 2 5" xfId="1840" xr:uid="{013C11E5-1EF7-41C0-BEFA-D1ED4B199D7C}"/>
    <cellStyle name="Normal 9 3 3 2 2 6" xfId="11206" xr:uid="{E7651742-D7B8-4CEE-BE4A-7BA2BE14E453}"/>
    <cellStyle name="Normal 9 3 3 2 3" xfId="3082" xr:uid="{B062FEEF-F0B1-42E8-8B10-B706D5EB5C6A}"/>
    <cellStyle name="Normal 9 3 3 2 3 2" xfId="5311" xr:uid="{E116C0A9-966F-495A-92D9-03A42B2D4433}"/>
    <cellStyle name="Normal 9 3 3 2 3 2 2" xfId="9529" xr:uid="{1A9204CC-D148-43AE-BE58-03468F1B050A}"/>
    <cellStyle name="Normal 9 3 3 2 3 3" xfId="7384" xr:uid="{EA7D9F94-0A47-4C2B-8AD4-D06860F20B2D}"/>
    <cellStyle name="Normal 9 3 3 2 4" xfId="3495" xr:uid="{525DD1C6-F837-402A-A9F4-DC0CD7E5CA9C}"/>
    <cellStyle name="Normal 9 3 3 2 4 2" xfId="5724" xr:uid="{2DECCC4C-DF47-4079-909C-DD41C7CC3C67}"/>
    <cellStyle name="Normal 9 3 3 2 4 2 2" xfId="9942" xr:uid="{8BFFD8EF-D80E-4B8D-84FE-96CE3C2B896D}"/>
    <cellStyle name="Normal 9 3 3 2 4 3" xfId="7797" xr:uid="{0E59CC81-9908-4F38-ACDF-F2F41795E316}"/>
    <cellStyle name="Normal 9 3 3 2 5" xfId="3908" xr:uid="{763A3087-CF3F-4D9B-ABB0-C457313B74C0}"/>
    <cellStyle name="Normal 9 3 3 2 5 2" xfId="6137" xr:uid="{CC75A8FA-0F25-44E5-A58C-A478353F9F40}"/>
    <cellStyle name="Normal 9 3 3 2 5 2 2" xfId="10355" xr:uid="{67788678-7E8A-4885-B672-AA9E0731942C}"/>
    <cellStyle name="Normal 9 3 3 2 5 3" xfId="8210" xr:uid="{0F76C75A-B472-49BE-B666-74519513F722}"/>
    <cellStyle name="Normal 9 3 3 2 6" xfId="4344" xr:uid="{69E70DF8-DE64-4C2A-BDCB-13876926F739}"/>
    <cellStyle name="Normal 9 3 3 2 6 2" xfId="8623" xr:uid="{345C6F22-44D0-480B-AD49-FEBB2FF93940}"/>
    <cellStyle name="Normal 9 3 3 2 7" xfId="6558" xr:uid="{EA7505F6-AD10-4CE9-B63C-7C72750D9FBC}"/>
    <cellStyle name="Normal 9 3 3 2 8" xfId="2254" xr:uid="{7C3F5CA0-EE55-49EB-87C2-C1D88A619BE4}"/>
    <cellStyle name="Normal 9 3 3 2 9" xfId="1424" xr:uid="{065C4B6C-2943-4F8A-BC2A-F436E753475C}"/>
    <cellStyle name="Normal 9 3 3 3" xfId="1007" xr:uid="{00000000-0005-0000-0000-0000C8030000}"/>
    <cellStyle name="Normal 9 3 3 3 2" xfId="4897" xr:uid="{F8BEC44F-E23F-47F6-B212-EEB4CEB34BB5}"/>
    <cellStyle name="Normal 9 3 3 3 2 2" xfId="9115" xr:uid="{E26C48E3-6712-42D1-83C1-81CAC2D88A6F}"/>
    <cellStyle name="Normal 9 3 3 3 3" xfId="6970" xr:uid="{81D39D65-A11B-4A63-82C5-B25A0FCDE5F4}"/>
    <cellStyle name="Normal 9 3 3 3 4" xfId="2668" xr:uid="{1C5D03E1-5F93-49EF-B3E8-B7F88FAD1622}"/>
    <cellStyle name="Normal 9 3 3 3 5" xfId="1839" xr:uid="{ACA3E36B-6229-4D06-AD63-71AD1D9AEE8D}"/>
    <cellStyle name="Normal 9 3 3 3 6" xfId="11205" xr:uid="{6FA6F4E5-D504-4A46-991B-93A9EBA21046}"/>
    <cellStyle name="Normal 9 3 3 4" xfId="3081" xr:uid="{3E7463CF-D73E-4271-BB11-96144536B49F}"/>
    <cellStyle name="Normal 9 3 3 4 2" xfId="5310" xr:uid="{B1222A80-1DAB-4D6D-81EA-733EEF68BE17}"/>
    <cellStyle name="Normal 9 3 3 4 2 2" xfId="9528" xr:uid="{171BFB9B-300C-4F44-8527-608FF416F833}"/>
    <cellStyle name="Normal 9 3 3 4 3" xfId="7383" xr:uid="{1DC58E02-EFF8-476F-BA8D-F4FC572C3F37}"/>
    <cellStyle name="Normal 9 3 3 5" xfId="3494" xr:uid="{C56B2C55-AF3B-45B1-BA6A-D2545D8252C5}"/>
    <cellStyle name="Normal 9 3 3 5 2" xfId="5723" xr:uid="{1335F448-61BA-4EC6-95E6-D3E0A4452CAF}"/>
    <cellStyle name="Normal 9 3 3 5 2 2" xfId="9941" xr:uid="{17CEFE7E-50F4-4F15-9171-78817924A8EF}"/>
    <cellStyle name="Normal 9 3 3 5 3" xfId="7796" xr:uid="{9F0A7E94-36E6-41F0-9763-EDC61DB25544}"/>
    <cellStyle name="Normal 9 3 3 6" xfId="3907" xr:uid="{1BABB1A1-1A18-482E-B9B2-F18A7D6CB8D8}"/>
    <cellStyle name="Normal 9 3 3 6 2" xfId="6136" xr:uid="{895124D6-1B7D-4816-A377-E379808B6A67}"/>
    <cellStyle name="Normal 9 3 3 6 2 2" xfId="10354" xr:uid="{61E99B37-1C40-4582-8D1F-6C8C999469FF}"/>
    <cellStyle name="Normal 9 3 3 6 3" xfId="8209" xr:uid="{FEEC9428-F3AD-4BA7-9639-1138EEE0DF0B}"/>
    <cellStyle name="Normal 9 3 3 7" xfId="4343" xr:uid="{A8D767BC-FB19-47A5-A33A-EA72A526F29A}"/>
    <cellStyle name="Normal 9 3 3 7 2" xfId="8622" xr:uid="{127896A7-B6FC-4B45-B78A-9D7E6E6B1EC5}"/>
    <cellStyle name="Normal 9 3 3 8" xfId="6557" xr:uid="{20F1ECDF-47DC-451A-8D1E-2C4E7C4C5D1B}"/>
    <cellStyle name="Normal 9 3 3 9" xfId="2253" xr:uid="{140AB3E1-56DD-4EE6-8AF6-070337A87D08}"/>
    <cellStyle name="Normal 9 3 4" xfId="537" xr:uid="{00000000-0005-0000-0000-0000C9030000}"/>
    <cellStyle name="Normal 9 3 4 10" xfId="10791" xr:uid="{2FD507C2-6314-48CD-9B94-ACE3E090BBCE}"/>
    <cellStyle name="Normal 9 3 4 2" xfId="1009" xr:uid="{00000000-0005-0000-0000-0000CA030000}"/>
    <cellStyle name="Normal 9 3 4 2 2" xfId="4899" xr:uid="{82475989-860D-4D39-9F4B-DCCECDC1AE02}"/>
    <cellStyle name="Normal 9 3 4 2 2 2" xfId="9117" xr:uid="{243A2014-7B0B-451A-8AF3-448244F03286}"/>
    <cellStyle name="Normal 9 3 4 2 3" xfId="6972" xr:uid="{8AA0FCF1-3565-416A-8882-7D667221E177}"/>
    <cellStyle name="Normal 9 3 4 2 4" xfId="2670" xr:uid="{8492D392-D933-4C26-B52A-FD64386EAEDE}"/>
    <cellStyle name="Normal 9 3 4 2 5" xfId="1841" xr:uid="{73CCA847-39CD-444D-87CB-7AF0E5C97412}"/>
    <cellStyle name="Normal 9 3 4 2 6" xfId="11207" xr:uid="{85C690B0-99F9-4AE8-A51D-652FA9DFD8B2}"/>
    <cellStyle name="Normal 9 3 4 3" xfId="3083" xr:uid="{D18EAAD6-9E30-4BF3-925B-2E50A1AEEBC0}"/>
    <cellStyle name="Normal 9 3 4 3 2" xfId="5312" xr:uid="{AB6FCFC3-609F-44FD-AB4D-E5249BDDFC23}"/>
    <cellStyle name="Normal 9 3 4 3 2 2" xfId="9530" xr:uid="{08C9F9B5-D0DD-470F-9ED2-DE6CFE651A43}"/>
    <cellStyle name="Normal 9 3 4 3 3" xfId="7385" xr:uid="{0FF0D90D-E60F-4C49-BE99-BC5DB809ECE4}"/>
    <cellStyle name="Normal 9 3 4 4" xfId="3496" xr:uid="{40CB13D6-9C1B-4283-A271-B8384B5118E3}"/>
    <cellStyle name="Normal 9 3 4 4 2" xfId="5725" xr:uid="{E116DDD3-E4B5-4C1A-A5BC-D20FE1CC9245}"/>
    <cellStyle name="Normal 9 3 4 4 2 2" xfId="9943" xr:uid="{8F182326-EA50-4816-83C8-AE413342B862}"/>
    <cellStyle name="Normal 9 3 4 4 3" xfId="7798" xr:uid="{07418FD1-E2C0-4611-9191-B4D5955BF1D1}"/>
    <cellStyle name="Normal 9 3 4 5" xfId="3909" xr:uid="{B1B08544-5903-4AF4-9F9C-1DF3A6A1E400}"/>
    <cellStyle name="Normal 9 3 4 5 2" xfId="6138" xr:uid="{80559A3F-785D-401F-9868-4E6C3BD89CEC}"/>
    <cellStyle name="Normal 9 3 4 5 2 2" xfId="10356" xr:uid="{AD16BD41-8BB9-4F0C-8960-71DC0738A73F}"/>
    <cellStyle name="Normal 9 3 4 5 3" xfId="8211" xr:uid="{4E311B30-820F-46A3-9E23-934F953D7BC2}"/>
    <cellStyle name="Normal 9 3 4 6" xfId="4345" xr:uid="{1D33307E-7F4D-4DEA-84F9-C14ED0F42AFE}"/>
    <cellStyle name="Normal 9 3 4 6 2" xfId="8624" xr:uid="{9A68D501-B559-44BC-8643-650D37BADA96}"/>
    <cellStyle name="Normal 9 3 4 7" xfId="6559" xr:uid="{D3EB622B-CBA4-4982-BFF1-AFDBA1EEA962}"/>
    <cellStyle name="Normal 9 3 4 8" xfId="2255" xr:uid="{B4FB14C0-56C3-4113-926C-4A4731083D5C}"/>
    <cellStyle name="Normal 9 3 4 9" xfId="1425" xr:uid="{89B95B86-D259-499C-9764-CD9CE030E5B7}"/>
    <cellStyle name="Normal 9 3 5" xfId="1002" xr:uid="{00000000-0005-0000-0000-0000CB030000}"/>
    <cellStyle name="Normal 9 3 5 2" xfId="4892" xr:uid="{94642C51-3423-45D6-B17A-4F331872BAD1}"/>
    <cellStyle name="Normal 9 3 5 2 2" xfId="9110" xr:uid="{68FFCB56-B977-437D-AC39-FBD90060FF04}"/>
    <cellStyle name="Normal 9 3 5 3" xfId="6965" xr:uid="{97C10983-E13A-4B04-B802-96345F9A0D27}"/>
    <cellStyle name="Normal 9 3 5 4" xfId="2663" xr:uid="{39A1E2DD-C32E-495F-8CBC-E2E65DD8E7E0}"/>
    <cellStyle name="Normal 9 3 5 5" xfId="1834" xr:uid="{744CD315-2F5D-46CB-B346-C8C559E26EDF}"/>
    <cellStyle name="Normal 9 3 5 6" xfId="11200" xr:uid="{0CF7D99E-BC61-47BD-BF25-490EBC1B5478}"/>
    <cellStyle name="Normal 9 3 6" xfId="3076" xr:uid="{D6EAEACB-AA4A-49EA-893A-CD7F527F831A}"/>
    <cellStyle name="Normal 9 3 6 2" xfId="5305" xr:uid="{60A2AE49-9B95-46F5-A4D6-7A53AC17A66E}"/>
    <cellStyle name="Normal 9 3 6 2 2" xfId="9523" xr:uid="{A85079C1-5023-4078-8462-EE74EB598EC3}"/>
    <cellStyle name="Normal 9 3 6 3" xfId="7378" xr:uid="{19976221-AE82-4460-AC8A-C8F37B628A22}"/>
    <cellStyle name="Normal 9 3 7" xfId="3489" xr:uid="{C50FB1A6-D29B-445F-8129-E4BA95A0AA29}"/>
    <cellStyle name="Normal 9 3 7 2" xfId="5718" xr:uid="{F655FE9F-3DE6-4E72-857C-B7E0181404BE}"/>
    <cellStyle name="Normal 9 3 7 2 2" xfId="9936" xr:uid="{C2B66FD9-B6B3-4B6D-9016-12DBED6DE251}"/>
    <cellStyle name="Normal 9 3 7 3" xfId="7791" xr:uid="{38B18C2C-1461-493F-A357-AB0D3EADE773}"/>
    <cellStyle name="Normal 9 3 8" xfId="3902" xr:uid="{FA683333-9BBD-45C7-98D4-F8E3B9EDEA41}"/>
    <cellStyle name="Normal 9 3 8 2" xfId="6131" xr:uid="{C4132D0F-2F50-4E9D-832E-4C8686E4426A}"/>
    <cellStyle name="Normal 9 3 8 2 2" xfId="10349" xr:uid="{1D2BFB20-0749-4EBD-B05B-4369B0B244FC}"/>
    <cellStyle name="Normal 9 3 8 3" xfId="8204" xr:uid="{48934BBF-DA3D-440E-82E4-22B98AF226AB}"/>
    <cellStyle name="Normal 9 3 9" xfId="4338" xr:uid="{022ACD35-B4D1-4E4A-877A-C931728A5120}"/>
    <cellStyle name="Normal 9 3 9 2" xfId="8617" xr:uid="{52EF3310-6254-4966-94BA-FBBC1E46C109}"/>
    <cellStyle name="Normal 9 4" xfId="538" xr:uid="{00000000-0005-0000-0000-0000CC030000}"/>
    <cellStyle name="Normal 9 4 2" xfId="1010" xr:uid="{00000000-0005-0000-0000-0000CD030000}"/>
    <cellStyle name="Normal 9 5" xfId="539" xr:uid="{00000000-0005-0000-0000-0000CE030000}"/>
    <cellStyle name="Normal 9 5 10" xfId="1426" xr:uid="{82EBC849-2A8F-4D5A-B53E-ED331F4E62A1}"/>
    <cellStyle name="Normal 9 5 11" xfId="10792" xr:uid="{D800195A-9002-422F-9591-B119ECA75FB9}"/>
    <cellStyle name="Normal 9 5 2" xfId="540" xr:uid="{00000000-0005-0000-0000-0000CF030000}"/>
    <cellStyle name="Normal 9 5 2 10" xfId="10793" xr:uid="{926A3910-AC98-4FAD-8F0D-B0F6CDC05B5C}"/>
    <cellStyle name="Normal 9 5 2 2" xfId="1012" xr:uid="{00000000-0005-0000-0000-0000D0030000}"/>
    <cellStyle name="Normal 9 5 2 2 2" xfId="4901" xr:uid="{802E7569-EC4C-4FE3-A05B-343A7B5B01ED}"/>
    <cellStyle name="Normal 9 5 2 2 2 2" xfId="9119" xr:uid="{66622731-891A-424B-B021-5F859094C844}"/>
    <cellStyle name="Normal 9 5 2 2 3" xfId="6974" xr:uid="{D69D1286-2199-42D8-8D85-91EA438B0BE3}"/>
    <cellStyle name="Normal 9 5 2 2 4" xfId="2672" xr:uid="{23B2465B-1480-4434-9AB5-CD49471EC592}"/>
    <cellStyle name="Normal 9 5 2 2 5" xfId="1843" xr:uid="{601A0E30-B0E7-42EC-94BC-39E5018EA003}"/>
    <cellStyle name="Normal 9 5 2 2 6" xfId="11209" xr:uid="{B0657FF6-E209-4879-891B-E670BB203D65}"/>
    <cellStyle name="Normal 9 5 2 3" xfId="3085" xr:uid="{38A1F16A-3883-49A1-AC97-A04C8AAF5C3D}"/>
    <cellStyle name="Normal 9 5 2 3 2" xfId="5314" xr:uid="{28B293D5-2EF0-4F7C-B604-330AABD13887}"/>
    <cellStyle name="Normal 9 5 2 3 2 2" xfId="9532" xr:uid="{B57C2259-351B-4A39-A1F8-17E810D14096}"/>
    <cellStyle name="Normal 9 5 2 3 3" xfId="7387" xr:uid="{61F1178D-B961-49A1-A1E6-154AAD840F7D}"/>
    <cellStyle name="Normal 9 5 2 4" xfId="3498" xr:uid="{5AF1E50B-7A61-4A0B-9ED5-BB4831A32F49}"/>
    <cellStyle name="Normal 9 5 2 4 2" xfId="5727" xr:uid="{D6D45753-D7E4-4343-B1F5-DFFF06FBE5E0}"/>
    <cellStyle name="Normal 9 5 2 4 2 2" xfId="9945" xr:uid="{0F879795-2645-4516-9C5C-F2AD819A3726}"/>
    <cellStyle name="Normal 9 5 2 4 3" xfId="7800" xr:uid="{C3E96C88-B6B3-46D4-92A8-A49307B5A8F1}"/>
    <cellStyle name="Normal 9 5 2 5" xfId="3911" xr:uid="{58B65BDB-A2DE-452B-98AE-DBB7E339A896}"/>
    <cellStyle name="Normal 9 5 2 5 2" xfId="6140" xr:uid="{A14C342F-5F80-486D-8FB0-1BE1F7BF9657}"/>
    <cellStyle name="Normal 9 5 2 5 2 2" xfId="10358" xr:uid="{4EFDFD51-3D66-47FC-8BCC-7F65D68BE935}"/>
    <cellStyle name="Normal 9 5 2 5 3" xfId="8213" xr:uid="{4AD700B1-3520-48D7-9BF5-F71DE12B3B7E}"/>
    <cellStyle name="Normal 9 5 2 6" xfId="4347" xr:uid="{441A56F2-C0F4-4493-807F-462177D07FBA}"/>
    <cellStyle name="Normal 9 5 2 6 2" xfId="8626" xr:uid="{B26D3656-FD02-4783-B192-E45B07A753E9}"/>
    <cellStyle name="Normal 9 5 2 7" xfId="6561" xr:uid="{DA19D33B-D72D-461C-8C0B-0F760C17991A}"/>
    <cellStyle name="Normal 9 5 2 8" xfId="2257" xr:uid="{E3A4E59D-20DB-4EAE-AF5E-111E5C0A436E}"/>
    <cellStyle name="Normal 9 5 2 9" xfId="1427" xr:uid="{BD9AC14D-5A9F-4643-9184-64DC92829E60}"/>
    <cellStyle name="Normal 9 5 3" xfId="1011" xr:uid="{00000000-0005-0000-0000-0000D1030000}"/>
    <cellStyle name="Normal 9 5 3 2" xfId="4900" xr:uid="{CE9B4028-AAB2-4166-9869-DD048DFDC80D}"/>
    <cellStyle name="Normal 9 5 3 2 2" xfId="9118" xr:uid="{7FD64F8D-C7AC-4185-8DD5-C2B58135229C}"/>
    <cellStyle name="Normal 9 5 3 3" xfId="6973" xr:uid="{1E2C209C-65D0-4C48-8A9B-4DF7964A5A1C}"/>
    <cellStyle name="Normal 9 5 3 4" xfId="2671" xr:uid="{865570D3-C93E-4DA5-98F8-CD8EB40BDBC6}"/>
    <cellStyle name="Normal 9 5 3 5" xfId="1842" xr:uid="{365EF833-845E-4C16-B060-4ED98A608F60}"/>
    <cellStyle name="Normal 9 5 3 6" xfId="11208" xr:uid="{15605F3E-BA7E-4921-9C92-91723087B635}"/>
    <cellStyle name="Normal 9 5 4" xfId="3084" xr:uid="{1A9F9310-5E80-4627-9E1B-4AB4B77EFE73}"/>
    <cellStyle name="Normal 9 5 4 2" xfId="5313" xr:uid="{C827B1BD-7910-4FA9-B7EF-9ED00CC5D94E}"/>
    <cellStyle name="Normal 9 5 4 2 2" xfId="9531" xr:uid="{EB1D6644-5BF7-426D-95EF-2AC9F21E6A42}"/>
    <cellStyle name="Normal 9 5 4 3" xfId="7386" xr:uid="{370749EE-A467-4E78-8507-9AD30DA47393}"/>
    <cellStyle name="Normal 9 5 5" xfId="3497" xr:uid="{F09AB5E0-53AA-494C-A0EA-9C6753AFA721}"/>
    <cellStyle name="Normal 9 5 5 2" xfId="5726" xr:uid="{155ACC6B-8A7C-44CB-AA5D-472410EB730F}"/>
    <cellStyle name="Normal 9 5 5 2 2" xfId="9944" xr:uid="{CE7CD174-86A9-4BC5-89B1-904D886EF337}"/>
    <cellStyle name="Normal 9 5 5 3" xfId="7799" xr:uid="{BA2B3D88-9ACA-4CEB-87E9-A34C6FC7581B}"/>
    <cellStyle name="Normal 9 5 6" xfId="3910" xr:uid="{5EB9DABD-402F-4C20-BF40-137CC210A25F}"/>
    <cellStyle name="Normal 9 5 6 2" xfId="6139" xr:uid="{360F0DFC-C249-4F57-ADA8-A83B8C1E708C}"/>
    <cellStyle name="Normal 9 5 6 2 2" xfId="10357" xr:uid="{BAACB80E-2E11-4E4C-8BBD-26F5D544A373}"/>
    <cellStyle name="Normal 9 5 6 3" xfId="8212" xr:uid="{4705AF04-713B-46AB-B0B2-06FF0BF1DF6D}"/>
    <cellStyle name="Normal 9 5 7" xfId="4346" xr:uid="{B64159B6-6D09-4E1E-AF86-86144FECD3C9}"/>
    <cellStyle name="Normal 9 5 7 2" xfId="8625" xr:uid="{D9BFD6C6-47EE-445C-8DDD-9B023BF8E872}"/>
    <cellStyle name="Normal 9 5 8" xfId="6560" xr:uid="{12A3B8F9-9514-4112-9765-A94BC044FEF1}"/>
    <cellStyle name="Normal 9 5 9" xfId="2256" xr:uid="{D9F4FFD7-F3B4-4E3E-BD06-33C57710DE70}"/>
    <cellStyle name="Normal 9 6" xfId="541" xr:uid="{00000000-0005-0000-0000-0000D2030000}"/>
    <cellStyle name="Normal 9 6 10" xfId="10794" xr:uid="{73B40324-BD43-42C3-9F70-9806929E8E9B}"/>
    <cellStyle name="Normal 9 6 2" xfId="1013" xr:uid="{00000000-0005-0000-0000-0000D3030000}"/>
    <cellStyle name="Normal 9 6 2 2" xfId="4902" xr:uid="{FA1BF8D6-3A94-49F9-ADA3-A4D9B01B018F}"/>
    <cellStyle name="Normal 9 6 2 2 2" xfId="9120" xr:uid="{5226870D-F70B-4780-A86E-10C054842E40}"/>
    <cellStyle name="Normal 9 6 2 3" xfId="6975" xr:uid="{A570626A-1B73-4E6A-8294-62D095BA097B}"/>
    <cellStyle name="Normal 9 6 2 4" xfId="2673" xr:uid="{A14FB39C-4310-4992-A28B-A3BDA1891DE8}"/>
    <cellStyle name="Normal 9 6 2 5" xfId="1844" xr:uid="{120D5F74-8CE1-4462-B1BE-A647B4788A17}"/>
    <cellStyle name="Normal 9 6 2 6" xfId="11210" xr:uid="{A9C4012A-1EA2-4F2C-B5AD-0C206FAE3945}"/>
    <cellStyle name="Normal 9 6 3" xfId="3086" xr:uid="{8A479587-5EC2-4508-BCD7-CED731B9BD44}"/>
    <cellStyle name="Normal 9 6 3 2" xfId="5315" xr:uid="{AB93DC8D-05F9-4806-B4C1-0408056804A7}"/>
    <cellStyle name="Normal 9 6 3 2 2" xfId="9533" xr:uid="{923C31AD-B77F-4789-9C9A-DDFEC2B984B4}"/>
    <cellStyle name="Normal 9 6 3 3" xfId="7388" xr:uid="{A33C5331-E7E0-4F8A-BBDC-030784CD8C15}"/>
    <cellStyle name="Normal 9 6 4" xfId="3499" xr:uid="{C4FCE1CA-9CB2-464A-A150-90AF624D79D8}"/>
    <cellStyle name="Normal 9 6 4 2" xfId="5728" xr:uid="{5040341F-C62E-4AD2-92A2-EBF4D8A029FD}"/>
    <cellStyle name="Normal 9 6 4 2 2" xfId="9946" xr:uid="{2F8F3741-7419-42D7-887F-61081DDBC722}"/>
    <cellStyle name="Normal 9 6 4 3" xfId="7801" xr:uid="{6F8EF6ED-E656-4495-8B86-E4CED662B97A}"/>
    <cellStyle name="Normal 9 6 5" xfId="3912" xr:uid="{E6C032BB-6327-4662-A119-EE69D60B7015}"/>
    <cellStyle name="Normal 9 6 5 2" xfId="6141" xr:uid="{7D6ADD4A-12EA-4193-BE2E-C81EF9214CC7}"/>
    <cellStyle name="Normal 9 6 5 2 2" xfId="10359" xr:uid="{B16C05A2-EBF2-465E-8D57-4FF8BF79395E}"/>
    <cellStyle name="Normal 9 6 5 3" xfId="8214" xr:uid="{72C9416C-8EA0-45FB-8C7A-36790D826B64}"/>
    <cellStyle name="Normal 9 6 6" xfId="4348" xr:uid="{166D5840-A8E6-4E2D-B5AD-99C2577F3FF2}"/>
    <cellStyle name="Normal 9 6 6 2" xfId="8627" xr:uid="{51D623C5-BE88-46E8-9F94-E9FF241ED72B}"/>
    <cellStyle name="Normal 9 6 7" xfId="6562" xr:uid="{95DF696A-7765-491E-90A8-D547F7A775AC}"/>
    <cellStyle name="Normal 9 6 8" xfId="2258" xr:uid="{CD0B7779-9D0A-4ED5-B440-397DCF2142A0}"/>
    <cellStyle name="Normal 9 6 9" xfId="1428" xr:uid="{BACB8DC0-4ED7-4F82-98F3-E142622154FD}"/>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10" xfId="4489" xr:uid="{E225B00D-AFD4-4F89-AC68-E5A584D05799}"/>
    <cellStyle name="Note 2 2 10 2" xfId="8708" xr:uid="{99E32D27-D4AC-43C5-B223-C4DF68B8EC60}"/>
    <cellStyle name="Note 2 2 11" xfId="6563" xr:uid="{82236652-6FC2-40A2-BAB0-8B91571650D2}"/>
    <cellStyle name="Note 2 2 12" xfId="2259" xr:uid="{CABCEDA5-7D3D-4461-B7C2-0695A112FF39}"/>
    <cellStyle name="Note 2 2 13" xfId="1429" xr:uid="{10352FA5-ABAD-4AB5-8469-7CCB756FB718}"/>
    <cellStyle name="Note 2 2 14" xfId="10795" xr:uid="{CB17D1DF-7D9B-4DB7-80AC-A3DAD84D73B4}"/>
    <cellStyle name="Note 2 2 2" xfId="550" xr:uid="{00000000-0005-0000-0000-0000DD030000}"/>
    <cellStyle name="Note 2 2 2 10" xfId="6564" xr:uid="{DE47E065-518F-4B6B-85A2-423DAC1686CF}"/>
    <cellStyle name="Note 2 2 2 11" xfId="2260" xr:uid="{478EE28C-22EF-448C-A720-2D68FC320D7A}"/>
    <cellStyle name="Note 2 2 2 12" xfId="1430" xr:uid="{0A13246A-58F8-4C93-AF4B-70876E10257A}"/>
    <cellStyle name="Note 2 2 2 13" xfId="10796" xr:uid="{680DE905-5BB5-45AE-A65A-3347887420FC}"/>
    <cellStyle name="Note 2 2 2 2" xfId="551" xr:uid="{00000000-0005-0000-0000-0000DE030000}"/>
    <cellStyle name="Note 2 2 2 2 10" xfId="2261" xr:uid="{135B3459-51F5-455F-B6C0-4B567A7B1594}"/>
    <cellStyle name="Note 2 2 2 2 11" xfId="1431" xr:uid="{ED15AC32-1BAA-4144-8BFC-7E4A8FC08813}"/>
    <cellStyle name="Note 2 2 2 2 12" xfId="10797" xr:uid="{4F4D829D-363C-42B8-8E85-BA8B5F2FBF35}"/>
    <cellStyle name="Note 2 2 2 2 2" xfId="1016" xr:uid="{00000000-0005-0000-0000-0000DF030000}"/>
    <cellStyle name="Note 2 2 2 2 2 2" xfId="4905" xr:uid="{150D4F74-F6D3-4ABC-8FC4-35C551FE69D0}"/>
    <cellStyle name="Note 2 2 2 2 2 2 2" xfId="9123" xr:uid="{F63DC904-6BF8-4D9B-962F-B0857F1223F3}"/>
    <cellStyle name="Note 2 2 2 2 2 3" xfId="6978" xr:uid="{5DDF63BC-9500-483D-BE92-78FA0183B5A2}"/>
    <cellStyle name="Note 2 2 2 2 2 4" xfId="2676" xr:uid="{03DAA041-FFE4-4A1A-ACAF-3EFF1F34B743}"/>
    <cellStyle name="Note 2 2 2 2 2 5" xfId="1847" xr:uid="{312F43E9-FEAD-4FA3-8B85-8E29CF3F407A}"/>
    <cellStyle name="Note 2 2 2 2 2 6" xfId="11213" xr:uid="{C3A9D639-AC14-49C7-92C7-55E8F136601A}"/>
    <cellStyle name="Note 2 2 2 2 3" xfId="3089" xr:uid="{4C5FF0FE-5103-4F7F-8DEE-BC9D32B63E20}"/>
    <cellStyle name="Note 2 2 2 2 3 2" xfId="5318" xr:uid="{4DB6B73A-87CC-4270-ABE1-035E1056F626}"/>
    <cellStyle name="Note 2 2 2 2 3 2 2" xfId="9536" xr:uid="{3730BFD4-E9D7-4CD1-A277-F2F0EC02998C}"/>
    <cellStyle name="Note 2 2 2 2 3 3" xfId="7391" xr:uid="{9E1AA209-2067-4925-A3EB-6B5C3AF04641}"/>
    <cellStyle name="Note 2 2 2 2 4" xfId="3502" xr:uid="{92021D47-463D-492C-AEFB-95DAE12B7BBF}"/>
    <cellStyle name="Note 2 2 2 2 4 2" xfId="5731" xr:uid="{444FDDE2-5311-4C05-B211-3FB48A8D9EC0}"/>
    <cellStyle name="Note 2 2 2 2 4 2 2" xfId="9949" xr:uid="{E21F01B8-B088-403F-B819-C6763CAA282A}"/>
    <cellStyle name="Note 2 2 2 2 4 3" xfId="7804" xr:uid="{7265B816-3029-4FC7-B999-1E7216E21082}"/>
    <cellStyle name="Note 2 2 2 2 5" xfId="3915" xr:uid="{4FFCCC1C-2640-4225-9B9B-2671700DF9F2}"/>
    <cellStyle name="Note 2 2 2 2 5 2" xfId="6144" xr:uid="{1E282B62-9A3D-4664-8CCD-410140BC26CD}"/>
    <cellStyle name="Note 2 2 2 2 5 2 2" xfId="10362" xr:uid="{EBC21684-4614-4362-99B3-DEE6E3C5EF7D}"/>
    <cellStyle name="Note 2 2 2 2 5 3" xfId="8217" xr:uid="{82BF7B90-6D83-4544-A1B1-A044BCAC2F63}"/>
    <cellStyle name="Note 2 2 2 2 6" xfId="4351" xr:uid="{2FCCEC60-174E-4F53-B7F6-811AC3C49AE3}"/>
    <cellStyle name="Note 2 2 2 2 6 2" xfId="8630" xr:uid="{D4DE0EF7-1553-4DFD-A87A-A664907ADBCD}"/>
    <cellStyle name="Note 2 2 2 2 7" xfId="4410" xr:uid="{9E87B6FF-A122-4113-BF2D-15B4997D6DC8}"/>
    <cellStyle name="Note 2 2 2 2 8" xfId="4491" xr:uid="{DED7112B-0D49-4F7D-8E68-EBB11F43596D}"/>
    <cellStyle name="Note 2 2 2 2 8 2" xfId="8710" xr:uid="{3CB3E9C6-7E7E-4498-936F-BE49F7AAB5E3}"/>
    <cellStyle name="Note 2 2 2 2 9" xfId="6565" xr:uid="{36203866-DD0F-4E86-ACE6-3208BD80C108}"/>
    <cellStyle name="Note 2 2 2 3" xfId="1015" xr:uid="{00000000-0005-0000-0000-0000E0030000}"/>
    <cellStyle name="Note 2 2 2 3 2" xfId="4904" xr:uid="{E2C6F116-4254-47A5-8163-8B843B5362F0}"/>
    <cellStyle name="Note 2 2 2 3 2 2" xfId="9122" xr:uid="{92852256-C624-49F2-B728-0878177A654D}"/>
    <cellStyle name="Note 2 2 2 3 3" xfId="6977" xr:uid="{F316C437-A08F-4BE3-8513-0E60C0304ED3}"/>
    <cellStyle name="Note 2 2 2 3 4" xfId="2675" xr:uid="{5F6B3ADE-258D-48D9-8240-64CD28F1FF90}"/>
    <cellStyle name="Note 2 2 2 3 5" xfId="1846" xr:uid="{B6E9C6EF-A7BA-4C5F-B4B7-2390B2CD0C3C}"/>
    <cellStyle name="Note 2 2 2 3 6" xfId="11212" xr:uid="{B2887E18-E965-4AFE-BB8E-57552C5F5B55}"/>
    <cellStyle name="Note 2 2 2 4" xfId="3088" xr:uid="{4057F0C9-619C-46B2-B26A-F488BFE50BA3}"/>
    <cellStyle name="Note 2 2 2 4 2" xfId="5317" xr:uid="{7BC3EA29-D211-4552-921D-DDD9E33E9717}"/>
    <cellStyle name="Note 2 2 2 4 2 2" xfId="9535" xr:uid="{CB20A466-BB73-4DC8-BC91-B213135D4DEA}"/>
    <cellStyle name="Note 2 2 2 4 3" xfId="7390" xr:uid="{F664AAEF-3ACA-42CC-A5B3-59825CF5897F}"/>
    <cellStyle name="Note 2 2 2 5" xfId="3501" xr:uid="{91E9C4A2-81CC-4C4B-8F1C-6690773CAF9B}"/>
    <cellStyle name="Note 2 2 2 5 2" xfId="5730" xr:uid="{CE0104CD-8CB8-42C9-AA62-1EF2A104F8B7}"/>
    <cellStyle name="Note 2 2 2 5 2 2" xfId="9948" xr:uid="{ED4C2C25-ED33-42F8-9A18-9698CFA42501}"/>
    <cellStyle name="Note 2 2 2 5 3" xfId="7803" xr:uid="{15F8BDE8-D132-4F8C-865A-FD98ECBEB5A0}"/>
    <cellStyle name="Note 2 2 2 6" xfId="3914" xr:uid="{7E50C19E-7B47-40AA-90C8-1CA3B75AA00D}"/>
    <cellStyle name="Note 2 2 2 6 2" xfId="6143" xr:uid="{13E05E41-8F82-458F-9620-81556600D118}"/>
    <cellStyle name="Note 2 2 2 6 2 2" xfId="10361" xr:uid="{E086C7FE-24EE-472E-977A-6DBFBD48D09C}"/>
    <cellStyle name="Note 2 2 2 6 3" xfId="8216" xr:uid="{C413BBD4-149F-4345-B337-EAED96ED313F}"/>
    <cellStyle name="Note 2 2 2 7" xfId="4350" xr:uid="{710F65AE-9752-45B8-9476-BE425E0E673F}"/>
    <cellStyle name="Note 2 2 2 7 2" xfId="8629" xr:uid="{075B4C8F-A7C9-46E6-BF26-FA4A1A40D483}"/>
    <cellStyle name="Note 2 2 2 8" xfId="4409" xr:uid="{391F5699-4031-4A5B-A52C-79101599E359}"/>
    <cellStyle name="Note 2 2 2 9" xfId="4490" xr:uid="{3C764B2E-89DC-4B4A-86AD-A8886D65EF3F}"/>
    <cellStyle name="Note 2 2 2 9 2" xfId="8709" xr:uid="{34F6AD76-F2CA-49DA-B123-BA2FB54F9427}"/>
    <cellStyle name="Note 2 2 3" xfId="552" xr:uid="{00000000-0005-0000-0000-0000E1030000}"/>
    <cellStyle name="Note 2 2 3 10" xfId="2262" xr:uid="{F6CB72A8-B93F-4357-9FF4-8E0151F29FA9}"/>
    <cellStyle name="Note 2 2 3 11" xfId="1432" xr:uid="{2A5D94B1-2B1D-43AF-9539-E71FF653A0DA}"/>
    <cellStyle name="Note 2 2 3 12" xfId="10798" xr:uid="{1FFB8016-E48E-4BFB-8321-D9134E048E99}"/>
    <cellStyle name="Note 2 2 3 2" xfId="1017" xr:uid="{00000000-0005-0000-0000-0000E2030000}"/>
    <cellStyle name="Note 2 2 3 2 2" xfId="4906" xr:uid="{9670B8FB-A9D0-4CFE-A2EF-8BA2C4164C43}"/>
    <cellStyle name="Note 2 2 3 2 2 2" xfId="9124" xr:uid="{D4BE14CC-E17E-4FEE-BE66-9968BBC5A9B6}"/>
    <cellStyle name="Note 2 2 3 2 3" xfId="6979" xr:uid="{F05F38A9-F4C4-4C73-8746-597C467A86ED}"/>
    <cellStyle name="Note 2 2 3 2 4" xfId="2677" xr:uid="{1BDC4DF3-09D2-4A50-91E5-B6E7A877F9A9}"/>
    <cellStyle name="Note 2 2 3 2 5" xfId="1848" xr:uid="{F5F5B2E7-FE9F-4238-A144-D1C860474F08}"/>
    <cellStyle name="Note 2 2 3 2 6" xfId="11214" xr:uid="{E9ECD9BB-10B6-4860-8D61-EE9B583CF606}"/>
    <cellStyle name="Note 2 2 3 3" xfId="3090" xr:uid="{30BF4FAE-FCC6-4F15-95C7-B94A2DA3EB46}"/>
    <cellStyle name="Note 2 2 3 3 2" xfId="5319" xr:uid="{7CD694DA-619E-4E33-B585-E5B0620679B5}"/>
    <cellStyle name="Note 2 2 3 3 2 2" xfId="9537" xr:uid="{D10E8757-7291-4594-9248-C3560B351EEB}"/>
    <cellStyle name="Note 2 2 3 3 3" xfId="7392" xr:uid="{52BDAD56-9576-41CB-8F8C-62BBD38EC3BF}"/>
    <cellStyle name="Note 2 2 3 4" xfId="3503" xr:uid="{8EAB40B2-F293-41E7-B992-F39147E001FC}"/>
    <cellStyle name="Note 2 2 3 4 2" xfId="5732" xr:uid="{EDB38300-3862-48C1-8112-5DD83FCE7D54}"/>
    <cellStyle name="Note 2 2 3 4 2 2" xfId="9950" xr:uid="{C1EEE095-E3EA-41BD-9F2B-A5D1BA75D5EC}"/>
    <cellStyle name="Note 2 2 3 4 3" xfId="7805" xr:uid="{AF43C889-AFD8-4985-A6CC-57716BF51BF0}"/>
    <cellStyle name="Note 2 2 3 5" xfId="3916" xr:uid="{7C108AC4-C2F1-49E4-B22C-3E61ECFD6F86}"/>
    <cellStyle name="Note 2 2 3 5 2" xfId="6145" xr:uid="{9D1BCFF8-6467-4A2F-8281-18184FCFCC7C}"/>
    <cellStyle name="Note 2 2 3 5 2 2" xfId="10363" xr:uid="{78B86469-7089-4A21-B121-B3087B84D1E3}"/>
    <cellStyle name="Note 2 2 3 5 3" xfId="8218" xr:uid="{7EC24AF5-B1A2-4001-A473-57BCC6428609}"/>
    <cellStyle name="Note 2 2 3 6" xfId="4352" xr:uid="{A1283359-AA6F-4AE5-9AAA-605526CBB7A6}"/>
    <cellStyle name="Note 2 2 3 6 2" xfId="8631" xr:uid="{90FC85B5-C956-48BE-8094-E623A4B4C4DC}"/>
    <cellStyle name="Note 2 2 3 7" xfId="4411" xr:uid="{1FC0965A-B034-42BB-A8EB-9928797DADFA}"/>
    <cellStyle name="Note 2 2 3 8" xfId="4492" xr:uid="{2CF92BAC-2701-43C5-930C-B7D207006696}"/>
    <cellStyle name="Note 2 2 3 8 2" xfId="8711" xr:uid="{08DB029E-9413-4B14-A60D-AB4DDB0B1BFD}"/>
    <cellStyle name="Note 2 2 3 9" xfId="6566" xr:uid="{0A003EB2-65C3-4914-87BD-2677C23D4E4D}"/>
    <cellStyle name="Note 2 2 4" xfId="1014" xr:uid="{00000000-0005-0000-0000-0000E3030000}"/>
    <cellStyle name="Note 2 2 4 2" xfId="4903" xr:uid="{BBFD8F20-1FED-4F54-AD0F-1AE9DA799690}"/>
    <cellStyle name="Note 2 2 4 2 2" xfId="9121" xr:uid="{D8349419-45B2-4DCB-933E-53C403F7F83F}"/>
    <cellStyle name="Note 2 2 4 3" xfId="6976" xr:uid="{910AAC5B-3A1A-4A17-81D2-CF0847F76FD2}"/>
    <cellStyle name="Note 2 2 4 4" xfId="2674" xr:uid="{EE7DB199-7114-4162-AF8D-4D7F92CAEA46}"/>
    <cellStyle name="Note 2 2 4 5" xfId="1845" xr:uid="{C3803793-F8DE-4603-8021-24EAFA4F5D8A}"/>
    <cellStyle name="Note 2 2 4 6" xfId="11211" xr:uid="{DE8DDF88-12C2-4964-8C62-A327FB294D54}"/>
    <cellStyle name="Note 2 2 5" xfId="3087" xr:uid="{D6EDCF29-9A39-479C-BE24-49034849D83D}"/>
    <cellStyle name="Note 2 2 5 2" xfId="5316" xr:uid="{552A0D0E-B1A5-48C1-B4D2-31B2C27005FB}"/>
    <cellStyle name="Note 2 2 5 2 2" xfId="9534" xr:uid="{0CD11A2D-A8D3-408D-9E95-B3C7033ADDCC}"/>
    <cellStyle name="Note 2 2 5 3" xfId="7389" xr:uid="{403C418B-8108-4C20-8ADE-81D932FFD316}"/>
    <cellStyle name="Note 2 2 6" xfId="3500" xr:uid="{B78B92A8-3454-4094-A9FC-5E8440ADA66A}"/>
    <cellStyle name="Note 2 2 6 2" xfId="5729" xr:uid="{06E8CAE7-4D98-447E-91DA-4133A2B585FC}"/>
    <cellStyle name="Note 2 2 6 2 2" xfId="9947" xr:uid="{2C05B2C0-60DF-40DA-AE85-A083E20B1FC3}"/>
    <cellStyle name="Note 2 2 6 3" xfId="7802" xr:uid="{DF09AE86-FED2-4E72-A73B-7A477AB79AEB}"/>
    <cellStyle name="Note 2 2 7" xfId="3913" xr:uid="{67957E41-E8B2-4603-9BFA-3821F56C0F6A}"/>
    <cellStyle name="Note 2 2 7 2" xfId="6142" xr:uid="{7C5D7CCA-A897-4C95-BDB7-4C0C51F98356}"/>
    <cellStyle name="Note 2 2 7 2 2" xfId="10360" xr:uid="{B2F205EA-7FD2-4D3C-8D34-EBB97A562229}"/>
    <cellStyle name="Note 2 2 7 3" xfId="8215" xr:uid="{C0619F4E-5FC1-462F-B954-22ACC8E04DFE}"/>
    <cellStyle name="Note 2 2 8" xfId="4349" xr:uid="{DE6170BD-F074-4A45-B42B-8069BAB2B098}"/>
    <cellStyle name="Note 2 2 8 2" xfId="8628" xr:uid="{98E9C201-EE07-4F46-BEAC-BBAD5D3355E6}"/>
    <cellStyle name="Note 2 2 9" xfId="4408" xr:uid="{35047BCB-9630-4F10-8FE3-1CFA4BA02281}"/>
    <cellStyle name="Note 2 3" xfId="553" xr:uid="{00000000-0005-0000-0000-0000E4030000}"/>
    <cellStyle name="Note 2 3 10" xfId="6567" xr:uid="{4A79C68E-202B-4F20-8506-05280240D0E9}"/>
    <cellStyle name="Note 2 3 11" xfId="2263" xr:uid="{31C96CDE-A176-4CFD-816A-4ED0E3A8A528}"/>
    <cellStyle name="Note 2 3 12" xfId="1433" xr:uid="{03F7B51B-DE48-4FC9-AD2E-BC4D8FAD112B}"/>
    <cellStyle name="Note 2 3 13" xfId="10799" xr:uid="{2EB0314E-2EE8-44EE-B72C-199FA5C8B7A6}"/>
    <cellStyle name="Note 2 3 2" xfId="554" xr:uid="{00000000-0005-0000-0000-0000E5030000}"/>
    <cellStyle name="Note 2 3 2 10" xfId="2264" xr:uid="{E08128E3-6398-4FD1-88FB-C35D03F3EAA2}"/>
    <cellStyle name="Note 2 3 2 11" xfId="1434" xr:uid="{7B8D41C0-E89A-4B99-A5C7-F5E33928A46D}"/>
    <cellStyle name="Note 2 3 2 12" xfId="10800" xr:uid="{3D51F016-540C-4133-8796-389291A81EBD}"/>
    <cellStyle name="Note 2 3 2 2" xfId="1019" xr:uid="{00000000-0005-0000-0000-0000E6030000}"/>
    <cellStyle name="Note 2 3 2 2 2" xfId="4908" xr:uid="{E99FBBEA-61EA-4A18-BF32-591F07897405}"/>
    <cellStyle name="Note 2 3 2 2 2 2" xfId="9126" xr:uid="{98A2E5A3-31FE-4A0E-AEAB-1C5DF2C5659C}"/>
    <cellStyle name="Note 2 3 2 2 3" xfId="6981" xr:uid="{7AA96BAC-F46C-4EB1-894A-EB66F9511243}"/>
    <cellStyle name="Note 2 3 2 2 4" xfId="2679" xr:uid="{6E61AAA4-B118-4E41-AA76-63C1CCA5CE3C}"/>
    <cellStyle name="Note 2 3 2 2 5" xfId="1850" xr:uid="{E4F92721-15E6-41C3-AF65-227C51E6FCED}"/>
    <cellStyle name="Note 2 3 2 2 6" xfId="11216" xr:uid="{BEE6A376-40B1-4D64-BF43-2F7E0F99E045}"/>
    <cellStyle name="Note 2 3 2 3" xfId="3092" xr:uid="{18806D59-F79D-4685-844C-3A1905AC9B57}"/>
    <cellStyle name="Note 2 3 2 3 2" xfId="5321" xr:uid="{748F6FD0-49F2-490A-8922-1F8FF925FB41}"/>
    <cellStyle name="Note 2 3 2 3 2 2" xfId="9539" xr:uid="{9D6893BB-9396-45E7-A92A-109D1CEFDDBA}"/>
    <cellStyle name="Note 2 3 2 3 3" xfId="7394" xr:uid="{0848D7AE-AF8A-4B23-BDB6-2441D21F2CB9}"/>
    <cellStyle name="Note 2 3 2 4" xfId="3505" xr:uid="{4A292236-AF62-4374-9E17-29A25C9F101E}"/>
    <cellStyle name="Note 2 3 2 4 2" xfId="5734" xr:uid="{24ACFDF8-564C-48A7-A27E-9345063DCB05}"/>
    <cellStyle name="Note 2 3 2 4 2 2" xfId="9952" xr:uid="{F1A2D9F7-E4BF-4DEE-86E1-4327C3D6C9E4}"/>
    <cellStyle name="Note 2 3 2 4 3" xfId="7807" xr:uid="{1B160B0F-3AD1-46F8-BD8D-A4D4DF9BBF41}"/>
    <cellStyle name="Note 2 3 2 5" xfId="3918" xr:uid="{0DFD879F-BFC3-4C9E-B951-F1A25B839C57}"/>
    <cellStyle name="Note 2 3 2 5 2" xfId="6147" xr:uid="{95377CAE-CFAA-446A-8FEB-7CF2F48A5CE3}"/>
    <cellStyle name="Note 2 3 2 5 2 2" xfId="10365" xr:uid="{7932EDCC-1F3F-4FC4-B8C1-98E3DCAFA33B}"/>
    <cellStyle name="Note 2 3 2 5 3" xfId="8220" xr:uid="{DAC37473-ABB4-483C-9809-F8AE41F5CEE8}"/>
    <cellStyle name="Note 2 3 2 6" xfId="4354" xr:uid="{5634A045-9A51-41D8-B64B-8B297A9172A6}"/>
    <cellStyle name="Note 2 3 2 6 2" xfId="8633" xr:uid="{05DEC214-64F8-4FE8-8724-715CC99972FA}"/>
    <cellStyle name="Note 2 3 2 7" xfId="4413" xr:uid="{06EA98EA-04B9-476D-B1B3-AD81390B0346}"/>
    <cellStyle name="Note 2 3 2 8" xfId="4494" xr:uid="{7DACD6ED-CC17-48FE-AAE5-C9ABD0610A2F}"/>
    <cellStyle name="Note 2 3 2 8 2" xfId="8713" xr:uid="{E3E3FC73-9715-4035-B961-B8D5D10A5ED2}"/>
    <cellStyle name="Note 2 3 2 9" xfId="6568" xr:uid="{96D212D5-2C20-419B-B0BF-E0CFBA4FABD8}"/>
    <cellStyle name="Note 2 3 3" xfId="1018" xr:uid="{00000000-0005-0000-0000-0000E7030000}"/>
    <cellStyle name="Note 2 3 3 2" xfId="4907" xr:uid="{10315D94-3B02-4CD7-816F-53D5C600792F}"/>
    <cellStyle name="Note 2 3 3 2 2" xfId="9125" xr:uid="{67AEE4D4-E42F-4D15-B1B7-B28AF703966B}"/>
    <cellStyle name="Note 2 3 3 3" xfId="6980" xr:uid="{9EA26082-112C-4A3A-83F7-67AEC0D94F25}"/>
    <cellStyle name="Note 2 3 3 4" xfId="2678" xr:uid="{BAAEA800-0B15-407C-902A-E72B5CF28D52}"/>
    <cellStyle name="Note 2 3 3 5" xfId="1849" xr:uid="{D06A0A7A-5BC2-43C4-AF5B-45AF0152A358}"/>
    <cellStyle name="Note 2 3 3 6" xfId="11215" xr:uid="{F7A2BBC0-A238-420F-9A75-DEAF6D72C84E}"/>
    <cellStyle name="Note 2 3 4" xfId="3091" xr:uid="{31847190-47E0-4F25-9B76-518A8CF5F877}"/>
    <cellStyle name="Note 2 3 4 2" xfId="5320" xr:uid="{3A283F60-C1F8-4E40-9508-BE4EB1C35E30}"/>
    <cellStyle name="Note 2 3 4 2 2" xfId="9538" xr:uid="{2CF53BBA-2B2C-4F2A-BDB0-E079E6B9C625}"/>
    <cellStyle name="Note 2 3 4 3" xfId="7393" xr:uid="{8F9F581F-4128-47F1-8438-B9B33133D073}"/>
    <cellStyle name="Note 2 3 5" xfId="3504" xr:uid="{CCA94C1E-AC48-4B19-833D-ECF2F73F82C0}"/>
    <cellStyle name="Note 2 3 5 2" xfId="5733" xr:uid="{44B089B5-35B7-4915-BA22-54C94B8065D1}"/>
    <cellStyle name="Note 2 3 5 2 2" xfId="9951" xr:uid="{CBC1FBF0-9788-4821-B703-932C99719389}"/>
    <cellStyle name="Note 2 3 5 3" xfId="7806" xr:uid="{3F01E132-4667-4377-81DB-4E72ACA9DA00}"/>
    <cellStyle name="Note 2 3 6" xfId="3917" xr:uid="{9F691FEC-53C9-44FF-8372-77B8060AF92D}"/>
    <cellStyle name="Note 2 3 6 2" xfId="6146" xr:uid="{3472871A-5F4D-4805-A4B4-A24976C7B050}"/>
    <cellStyle name="Note 2 3 6 2 2" xfId="10364" xr:uid="{C9A66939-B261-455F-9874-C06DEB4352AF}"/>
    <cellStyle name="Note 2 3 6 3" xfId="8219" xr:uid="{EEB14315-CEF6-415D-BBF9-D75DE0634927}"/>
    <cellStyle name="Note 2 3 7" xfId="4353" xr:uid="{10FEB1F4-89E7-41A3-9EF9-5598B2CE0AA3}"/>
    <cellStyle name="Note 2 3 7 2" xfId="8632" xr:uid="{675198B8-DC0D-4D04-BF44-29FC36403A81}"/>
    <cellStyle name="Note 2 3 8" xfId="4412" xr:uid="{0939DEB9-102D-44B3-9A8D-D0CF10A50FFD}"/>
    <cellStyle name="Note 2 3 9" xfId="4493" xr:uid="{405D937E-45C6-43EA-B6BF-0BAECEE58DA7}"/>
    <cellStyle name="Note 2 3 9 2" xfId="8712" xr:uid="{9A3968D5-499E-43E6-B930-0B129D537A76}"/>
    <cellStyle name="Note 2 4" xfId="555" xr:uid="{00000000-0005-0000-0000-0000E8030000}"/>
    <cellStyle name="Note 2 4 10" xfId="2265" xr:uid="{100C1DD1-72BE-41DB-886C-84A050011024}"/>
    <cellStyle name="Note 2 4 11" xfId="1435" xr:uid="{C819EAC6-D1D4-4527-B231-83ED5FF12084}"/>
    <cellStyle name="Note 2 4 12" xfId="10801" xr:uid="{259711E1-14DE-4EBD-A405-F27C9930AD9D}"/>
    <cellStyle name="Note 2 4 2" xfId="1020" xr:uid="{00000000-0005-0000-0000-0000E9030000}"/>
    <cellStyle name="Note 2 4 2 2" xfId="4909" xr:uid="{3938B2E0-44E3-4288-BCDB-4AB842A5E2C4}"/>
    <cellStyle name="Note 2 4 2 2 2" xfId="9127" xr:uid="{6947EFAF-FC98-4553-AFA8-5BD6EA505FBC}"/>
    <cellStyle name="Note 2 4 2 3" xfId="6982" xr:uid="{C6D3A623-FADB-452B-BDE6-EF48D3949492}"/>
    <cellStyle name="Note 2 4 2 4" xfId="2680" xr:uid="{77F3063E-2107-4E22-8B04-2960B05A74CF}"/>
    <cellStyle name="Note 2 4 2 5" xfId="1851" xr:uid="{2F3FAFE4-8B12-475A-A67F-EA20F2316244}"/>
    <cellStyle name="Note 2 4 2 6" xfId="11217" xr:uid="{DD845CE7-748A-4BEA-A599-E3263B0DC3E8}"/>
    <cellStyle name="Note 2 4 3" xfId="3093" xr:uid="{0A1D8298-6E50-4172-8255-356E9C9F8FAF}"/>
    <cellStyle name="Note 2 4 3 2" xfId="5322" xr:uid="{8EFB410F-48CB-4A73-9646-8772F21576A6}"/>
    <cellStyle name="Note 2 4 3 2 2" xfId="9540" xr:uid="{B7893C7B-7023-41F4-A7C7-F6DAE2DA1C6B}"/>
    <cellStyle name="Note 2 4 3 3" xfId="7395" xr:uid="{6641EE4A-FD09-48C5-91A7-94985ABC65A7}"/>
    <cellStyle name="Note 2 4 4" xfId="3506" xr:uid="{268FEB9F-6619-4F2B-9DF4-9657F3552F5D}"/>
    <cellStyle name="Note 2 4 4 2" xfId="5735" xr:uid="{F4EAE36D-38C2-4680-A653-BA20B9778441}"/>
    <cellStyle name="Note 2 4 4 2 2" xfId="9953" xr:uid="{26947CF9-4229-4169-B605-90A5D0E81E5D}"/>
    <cellStyle name="Note 2 4 4 3" xfId="7808" xr:uid="{0ADE3184-0ADB-4AD6-9C9F-EE03D904561E}"/>
    <cellStyle name="Note 2 4 5" xfId="3919" xr:uid="{F164AB1D-1A6C-4FDF-8903-7C4B82B210EC}"/>
    <cellStyle name="Note 2 4 5 2" xfId="6148" xr:uid="{AC48C3AD-11D3-4D69-AC70-FA69F8E419E8}"/>
    <cellStyle name="Note 2 4 5 2 2" xfId="10366" xr:uid="{D5FF411E-0490-4FFF-A079-B58B698EF242}"/>
    <cellStyle name="Note 2 4 5 3" xfId="8221" xr:uid="{9B3621B3-4B8C-49DA-BDB2-30816AB1D49C}"/>
    <cellStyle name="Note 2 4 6" xfId="4355" xr:uid="{0027142A-0E93-4390-A32F-56D04AF74C62}"/>
    <cellStyle name="Note 2 4 6 2" xfId="8634" xr:uid="{9224930A-C0A7-4EBB-AE54-2DEEA0C8C5C9}"/>
    <cellStyle name="Note 2 4 7" xfId="4414" xr:uid="{32B279E3-7CE7-4241-88AB-98A4692E9836}"/>
    <cellStyle name="Note 2 4 8" xfId="4495" xr:uid="{C75FE28E-0619-476B-B728-0DA9B7EFCFB0}"/>
    <cellStyle name="Note 2 4 8 2" xfId="8714" xr:uid="{7B6C6BDC-99A8-4B36-B76C-D6F953EF39DC}"/>
    <cellStyle name="Note 2 4 9" xfId="6569" xr:uid="{22148884-1409-45AF-A966-45E4810B4DB1}"/>
    <cellStyle name="Note 2 5" xfId="556" xr:uid="{00000000-0005-0000-0000-0000EA030000}"/>
    <cellStyle name="Note 2 5 10" xfId="2266" xr:uid="{83496E88-C306-4519-9E15-B3C3D6CB8639}"/>
    <cellStyle name="Note 2 5 11" xfId="1436" xr:uid="{5D5CF45B-88B8-4536-B1BB-69C4BDCE0C7E}"/>
    <cellStyle name="Note 2 5 12" xfId="10802" xr:uid="{D97DC9A2-074B-4561-8BF6-60742E2D8EB0}"/>
    <cellStyle name="Note 2 5 2" xfId="1021" xr:uid="{00000000-0005-0000-0000-0000EB030000}"/>
    <cellStyle name="Note 2 5 2 2" xfId="4910" xr:uid="{A2BEDB85-CC8E-4D5E-A98C-0E22D71E8ADF}"/>
    <cellStyle name="Note 2 5 2 2 2" xfId="9128" xr:uid="{5761725C-97BE-412B-A606-DBC7AFAF8947}"/>
    <cellStyle name="Note 2 5 2 3" xfId="6983" xr:uid="{F83BCAD6-6C8F-4E07-9371-729A24E58887}"/>
    <cellStyle name="Note 2 5 2 4" xfId="2681" xr:uid="{96AB2429-DA3F-4170-A9FF-425B4F4ACA89}"/>
    <cellStyle name="Note 2 5 2 5" xfId="1852" xr:uid="{9E089FA1-DD2D-4813-9A4F-B04DDB8E6720}"/>
    <cellStyle name="Note 2 5 2 6" xfId="11218" xr:uid="{98BDF6D7-CD9A-4C3B-B4CC-5F99D0689A5A}"/>
    <cellStyle name="Note 2 5 3" xfId="3094" xr:uid="{F48B1FBE-F886-4BCC-A62F-0CB2F679B8F2}"/>
    <cellStyle name="Note 2 5 3 2" xfId="5323" xr:uid="{8AF45A57-6705-48B5-A62F-E1B0FABE4362}"/>
    <cellStyle name="Note 2 5 3 2 2" xfId="9541" xr:uid="{3483F716-D022-4640-BF8D-3FCE7E0262E3}"/>
    <cellStyle name="Note 2 5 3 3" xfId="7396" xr:uid="{C8BC1055-7016-49A3-B6D9-F4485FE439A1}"/>
    <cellStyle name="Note 2 5 4" xfId="3507" xr:uid="{FBC55D19-4408-4F65-8DDD-3213E663FE3D}"/>
    <cellStyle name="Note 2 5 4 2" xfId="5736" xr:uid="{463345BB-4054-4CED-9509-68BCEFA56020}"/>
    <cellStyle name="Note 2 5 4 2 2" xfId="9954" xr:uid="{AC359555-D814-4B0F-950E-3E227421DABE}"/>
    <cellStyle name="Note 2 5 4 3" xfId="7809" xr:uid="{62E42D2C-4875-43F7-9391-57403A750B8D}"/>
    <cellStyle name="Note 2 5 5" xfId="3920" xr:uid="{D368B48A-717E-498B-9DED-1A755A752A6D}"/>
    <cellStyle name="Note 2 5 5 2" xfId="6149" xr:uid="{22314A8F-4130-435B-86C0-0B82BACB376D}"/>
    <cellStyle name="Note 2 5 5 2 2" xfId="10367" xr:uid="{0AFFADD9-FD10-42AF-9BAD-CE4E589180CD}"/>
    <cellStyle name="Note 2 5 5 3" xfId="8222" xr:uid="{1F966DB1-64C3-4E89-AA22-FF1E72ABBF14}"/>
    <cellStyle name="Note 2 5 6" xfId="4356" xr:uid="{091B942B-8E63-48FF-B0FE-B5346F34FA1F}"/>
    <cellStyle name="Note 2 5 6 2" xfId="8635" xr:uid="{C5B8B40D-8C58-4C53-A7A4-C9E39597683E}"/>
    <cellStyle name="Note 2 5 7" xfId="4415" xr:uid="{0D54FB77-268B-452B-9014-012C470EFA06}"/>
    <cellStyle name="Note 2 5 8" xfId="4496" xr:uid="{A32B0DB2-AC37-466E-8E29-1F561F13DEB2}"/>
    <cellStyle name="Note 2 5 8 2" xfId="8715" xr:uid="{E0DF953C-8C6A-463B-8415-B7E189944696}"/>
    <cellStyle name="Note 2 5 9" xfId="6570" xr:uid="{60C9E1BE-9EFF-451A-A177-F3DBFB9809A9}"/>
    <cellStyle name="Note 3" xfId="557" xr:uid="{00000000-0005-0000-0000-0000EC030000}"/>
    <cellStyle name="Note 3 2" xfId="558" xr:uid="{00000000-0005-0000-0000-0000ED030000}"/>
    <cellStyle name="Note 3 2 10" xfId="4497" xr:uid="{A90824A9-C4FD-447D-BAEE-CA376ED8E398}"/>
    <cellStyle name="Note 3 2 10 2" xfId="8716" xr:uid="{82F6E104-A1D7-4ECC-BC4B-8955DC9985E9}"/>
    <cellStyle name="Note 3 2 11" xfId="6571" xr:uid="{8CF9191C-2158-4A1C-AEEA-50D3908C783A}"/>
    <cellStyle name="Note 3 2 12" xfId="2267" xr:uid="{B5894C8A-75C4-4D3A-8629-76FFA987EB71}"/>
    <cellStyle name="Note 3 2 13" xfId="1437" xr:uid="{53D67F30-30E0-4E6F-9F5E-301A74CCFEF4}"/>
    <cellStyle name="Note 3 2 14" xfId="10803" xr:uid="{43CF939F-7AB3-439F-BEB4-290E7373A8F1}"/>
    <cellStyle name="Note 3 2 2" xfId="559" xr:uid="{00000000-0005-0000-0000-0000EE030000}"/>
    <cellStyle name="Note 3 2 2 10" xfId="6572" xr:uid="{0DC7D25A-96D9-4009-8A1C-B8C7BD81B1B3}"/>
    <cellStyle name="Note 3 2 2 11" xfId="2268" xr:uid="{9C90AB19-7818-4D34-8D09-2F904A86E283}"/>
    <cellStyle name="Note 3 2 2 12" xfId="1438" xr:uid="{4FDB83AB-0CE5-49A2-851E-4FB4F31A1196}"/>
    <cellStyle name="Note 3 2 2 13" xfId="10804" xr:uid="{63095FC8-7768-4280-9AF6-BEA7A5B04869}"/>
    <cellStyle name="Note 3 2 2 2" xfId="560" xr:uid="{00000000-0005-0000-0000-0000EF030000}"/>
    <cellStyle name="Note 3 2 2 2 10" xfId="2269" xr:uid="{01F05DD5-CFF2-4AE0-A683-21C8712B5254}"/>
    <cellStyle name="Note 3 2 2 2 11" xfId="1439" xr:uid="{CB25EA02-2B57-4841-A335-F7B0D67FD0B6}"/>
    <cellStyle name="Note 3 2 2 2 12" xfId="10805" xr:uid="{CB6FFE9F-EDD6-4260-A353-965A932F4A2F}"/>
    <cellStyle name="Note 3 2 2 2 2" xfId="1024" xr:uid="{00000000-0005-0000-0000-0000F0030000}"/>
    <cellStyle name="Note 3 2 2 2 2 2" xfId="4913" xr:uid="{7347B82C-D04C-4258-8B2F-195BB599E999}"/>
    <cellStyle name="Note 3 2 2 2 2 2 2" xfId="9131" xr:uid="{6F5C541D-F317-4C7E-9672-3E5320EE89BE}"/>
    <cellStyle name="Note 3 2 2 2 2 3" xfId="6986" xr:uid="{7AF3164A-CD60-4E76-AE5A-6173071275F0}"/>
    <cellStyle name="Note 3 2 2 2 2 4" xfId="2684" xr:uid="{E235626D-F769-4A6C-8CF1-B22B1B378F61}"/>
    <cellStyle name="Note 3 2 2 2 2 5" xfId="1855" xr:uid="{5B9A5DED-36CF-4EA2-921A-060D06ABC09F}"/>
    <cellStyle name="Note 3 2 2 2 2 6" xfId="11221" xr:uid="{92544066-FF93-4B98-A68F-167ADCE3772E}"/>
    <cellStyle name="Note 3 2 2 2 3" xfId="3097" xr:uid="{80817DD5-6F66-4348-803A-DCE973B047C5}"/>
    <cellStyle name="Note 3 2 2 2 3 2" xfId="5326" xr:uid="{BC477E34-322E-4091-BEA0-7D58990FFFDA}"/>
    <cellStyle name="Note 3 2 2 2 3 2 2" xfId="9544" xr:uid="{FFB4AC7E-32F0-4C57-B633-96D6435742FA}"/>
    <cellStyle name="Note 3 2 2 2 3 3" xfId="7399" xr:uid="{4B0CFE74-1FC2-4F39-B6BD-CB779DE0BD4D}"/>
    <cellStyle name="Note 3 2 2 2 4" xfId="3510" xr:uid="{D2970E50-930B-4E18-A669-4956C7A42FB1}"/>
    <cellStyle name="Note 3 2 2 2 4 2" xfId="5739" xr:uid="{77E59846-7A85-423A-AC27-860E26C16537}"/>
    <cellStyle name="Note 3 2 2 2 4 2 2" xfId="9957" xr:uid="{0A6179F6-B6AD-4107-BBF6-02D3F81E5350}"/>
    <cellStyle name="Note 3 2 2 2 4 3" xfId="7812" xr:uid="{04F4513D-C3B2-469F-B911-468569C2DEE5}"/>
    <cellStyle name="Note 3 2 2 2 5" xfId="3923" xr:uid="{F10AC419-B068-4403-9492-88F992FA83A5}"/>
    <cellStyle name="Note 3 2 2 2 5 2" xfId="6152" xr:uid="{A261CBE1-1F19-4FD8-9108-088104E505CD}"/>
    <cellStyle name="Note 3 2 2 2 5 2 2" xfId="10370" xr:uid="{F22EED1B-7864-449B-9559-2534C8370B3C}"/>
    <cellStyle name="Note 3 2 2 2 5 3" xfId="8225" xr:uid="{BAA7299D-5965-423E-9298-608C83D84C9C}"/>
    <cellStyle name="Note 3 2 2 2 6" xfId="4359" xr:uid="{34EB06E0-AF4E-48E6-AFB5-E4B2C63F1F65}"/>
    <cellStyle name="Note 3 2 2 2 6 2" xfId="8638" xr:uid="{D214D1A8-166A-4BC3-8B26-94F2EFEC215E}"/>
    <cellStyle name="Note 3 2 2 2 7" xfId="4418" xr:uid="{C3894424-8C09-4903-92FB-FAA1701C92CF}"/>
    <cellStyle name="Note 3 2 2 2 8" xfId="4499" xr:uid="{2D3FC4A4-1F63-455E-A556-F3DB54E89173}"/>
    <cellStyle name="Note 3 2 2 2 8 2" xfId="8718" xr:uid="{463D4C62-F2FD-48BB-9591-838E4E247EB1}"/>
    <cellStyle name="Note 3 2 2 2 9" xfId="6573" xr:uid="{FFE263F8-E6AD-463D-B53C-4D51348B1D2E}"/>
    <cellStyle name="Note 3 2 2 3" xfId="1023" xr:uid="{00000000-0005-0000-0000-0000F1030000}"/>
    <cellStyle name="Note 3 2 2 3 2" xfId="4912" xr:uid="{A1773203-412C-4E63-A741-B9DF7D6FECC4}"/>
    <cellStyle name="Note 3 2 2 3 2 2" xfId="9130" xr:uid="{24F7C46A-3A58-4AE0-AEAA-C3D90D745965}"/>
    <cellStyle name="Note 3 2 2 3 3" xfId="6985" xr:uid="{AD502F64-BDC8-4533-85F5-84CE83D7575B}"/>
    <cellStyle name="Note 3 2 2 3 4" xfId="2683" xr:uid="{DEEF445C-1570-4E6D-B9E7-2AE984EC9826}"/>
    <cellStyle name="Note 3 2 2 3 5" xfId="1854" xr:uid="{9829DF78-0C82-4087-AE55-144256746107}"/>
    <cellStyle name="Note 3 2 2 3 6" xfId="11220" xr:uid="{AA7C671F-A1B8-4A9A-A7F0-F17E00B07F43}"/>
    <cellStyle name="Note 3 2 2 4" xfId="3096" xr:uid="{AC1BF0A3-AE85-48DC-A01E-7E0DD2A524A8}"/>
    <cellStyle name="Note 3 2 2 4 2" xfId="5325" xr:uid="{9ED4C08E-DDD3-4EAE-9218-A914F201D168}"/>
    <cellStyle name="Note 3 2 2 4 2 2" xfId="9543" xr:uid="{060788CE-2024-494C-ACA8-878A8AF1945D}"/>
    <cellStyle name="Note 3 2 2 4 3" xfId="7398" xr:uid="{63A30B01-FC0C-41C2-9412-BD4337724F1E}"/>
    <cellStyle name="Note 3 2 2 5" xfId="3509" xr:uid="{AFC05FC1-E598-4D95-99B3-2D37B3D5DFAE}"/>
    <cellStyle name="Note 3 2 2 5 2" xfId="5738" xr:uid="{D0FC0C42-A36B-46E1-83D2-70158E9B3C6F}"/>
    <cellStyle name="Note 3 2 2 5 2 2" xfId="9956" xr:uid="{AA32AFDD-60D4-493C-8038-6A17863B6C6B}"/>
    <cellStyle name="Note 3 2 2 5 3" xfId="7811" xr:uid="{8E0D20B1-A6A9-4167-BC3C-139E85C9B739}"/>
    <cellStyle name="Note 3 2 2 6" xfId="3922" xr:uid="{A19295E4-0EB4-47AA-90F9-DA8B28184605}"/>
    <cellStyle name="Note 3 2 2 6 2" xfId="6151" xr:uid="{21AF01C1-63AB-43DF-8C80-157D89B40FB9}"/>
    <cellStyle name="Note 3 2 2 6 2 2" xfId="10369" xr:uid="{F7D29B59-95C8-4D7B-85A3-52EF4E6B8350}"/>
    <cellStyle name="Note 3 2 2 6 3" xfId="8224" xr:uid="{EA647A73-26CA-42BB-8890-152B1E2C5D60}"/>
    <cellStyle name="Note 3 2 2 7" xfId="4358" xr:uid="{0B32E210-0091-4577-8779-660801038859}"/>
    <cellStyle name="Note 3 2 2 7 2" xfId="8637" xr:uid="{B3003753-22F2-4B7A-B148-91B83709BBAD}"/>
    <cellStyle name="Note 3 2 2 8" xfId="4417" xr:uid="{273E54C2-9EB1-4800-805B-85F9262ED335}"/>
    <cellStyle name="Note 3 2 2 9" xfId="4498" xr:uid="{F5305FF4-2943-48BC-B7B2-6BD827434987}"/>
    <cellStyle name="Note 3 2 2 9 2" xfId="8717" xr:uid="{04A36C03-4C98-4E86-9151-C2485E21B1A8}"/>
    <cellStyle name="Note 3 2 3" xfId="561" xr:uid="{00000000-0005-0000-0000-0000F2030000}"/>
    <cellStyle name="Note 3 2 3 10" xfId="2270" xr:uid="{D66B7275-D42C-4627-B210-1FA3F546250E}"/>
    <cellStyle name="Note 3 2 3 11" xfId="1440" xr:uid="{C4A7C5DA-2003-4FAD-8DF7-3E7BD62369C3}"/>
    <cellStyle name="Note 3 2 3 12" xfId="10806" xr:uid="{6DE2F8B6-1554-481A-A735-3BC86A1416A9}"/>
    <cellStyle name="Note 3 2 3 2" xfId="1025" xr:uid="{00000000-0005-0000-0000-0000F3030000}"/>
    <cellStyle name="Note 3 2 3 2 2" xfId="4914" xr:uid="{935DB395-4C74-4178-B66A-6C6FDE41BEEC}"/>
    <cellStyle name="Note 3 2 3 2 2 2" xfId="9132" xr:uid="{017445EF-9CE3-490F-BAAE-EA3A2A28D916}"/>
    <cellStyle name="Note 3 2 3 2 3" xfId="6987" xr:uid="{A854D9A3-6325-4C8F-B84D-6A6F2F656651}"/>
    <cellStyle name="Note 3 2 3 2 4" xfId="2685" xr:uid="{4842CEF2-B300-4198-9436-02C6EAACE806}"/>
    <cellStyle name="Note 3 2 3 2 5" xfId="1856" xr:uid="{3B7A0230-F9B0-45E2-AF31-28A2188A97C9}"/>
    <cellStyle name="Note 3 2 3 2 6" xfId="11222" xr:uid="{2436699D-98BB-4ED2-91FE-4E563AD99CCF}"/>
    <cellStyle name="Note 3 2 3 3" xfId="3098" xr:uid="{D7DD9271-F54A-444B-B12F-626ACF99D762}"/>
    <cellStyle name="Note 3 2 3 3 2" xfId="5327" xr:uid="{8484C2BC-02DE-44B6-9512-3BFDB7B4970D}"/>
    <cellStyle name="Note 3 2 3 3 2 2" xfId="9545" xr:uid="{9238A737-A4C1-4CBC-9810-09B43CF6F256}"/>
    <cellStyle name="Note 3 2 3 3 3" xfId="7400" xr:uid="{42FE72C7-583E-4069-B394-E492CF54DA46}"/>
    <cellStyle name="Note 3 2 3 4" xfId="3511" xr:uid="{77A1BB51-D366-4569-A171-6BA023F4B586}"/>
    <cellStyle name="Note 3 2 3 4 2" xfId="5740" xr:uid="{8A54975F-0571-44D8-ABC3-2B2668F328E0}"/>
    <cellStyle name="Note 3 2 3 4 2 2" xfId="9958" xr:uid="{DD2C1FF3-D55B-4F35-AB47-AE7EFF5F5E34}"/>
    <cellStyle name="Note 3 2 3 4 3" xfId="7813" xr:uid="{13A6E321-ACCF-4334-958A-AE9108C2BA84}"/>
    <cellStyle name="Note 3 2 3 5" xfId="3924" xr:uid="{BCADFAFA-BE73-41E8-B07D-2FC749721534}"/>
    <cellStyle name="Note 3 2 3 5 2" xfId="6153" xr:uid="{88C9ACF6-57BF-4ACF-8AD0-F673DDB99D6E}"/>
    <cellStyle name="Note 3 2 3 5 2 2" xfId="10371" xr:uid="{5E66D163-A2A2-4355-B1D7-32C02BC373FA}"/>
    <cellStyle name="Note 3 2 3 5 3" xfId="8226" xr:uid="{C65CF355-A0F6-419C-B3D3-31DF7EA0CFCB}"/>
    <cellStyle name="Note 3 2 3 6" xfId="4360" xr:uid="{5F5CCBAF-D8E9-4FF3-8F8C-955DF8A2A2AB}"/>
    <cellStyle name="Note 3 2 3 6 2" xfId="8639" xr:uid="{19768A77-4906-4DEE-9F37-5E0D349B0671}"/>
    <cellStyle name="Note 3 2 3 7" xfId="4419" xr:uid="{7F92E3F7-17C8-494E-90F9-9BCD3B463138}"/>
    <cellStyle name="Note 3 2 3 8" xfId="4500" xr:uid="{6591A5B7-B24B-4D42-9716-83AC13FB77F2}"/>
    <cellStyle name="Note 3 2 3 8 2" xfId="8719" xr:uid="{9541150B-4162-4320-88AF-7F803B4794C3}"/>
    <cellStyle name="Note 3 2 3 9" xfId="6574" xr:uid="{D708589A-4338-4BBD-AE5F-4C156ADFF653}"/>
    <cellStyle name="Note 3 2 4" xfId="1022" xr:uid="{00000000-0005-0000-0000-0000F4030000}"/>
    <cellStyle name="Note 3 2 4 2" xfId="4911" xr:uid="{192506A7-DA0C-4D3C-B86C-2B56CE3974A8}"/>
    <cellStyle name="Note 3 2 4 2 2" xfId="9129" xr:uid="{67C51623-D0A0-439B-9A25-F5D9AB0E85A1}"/>
    <cellStyle name="Note 3 2 4 3" xfId="6984" xr:uid="{096E92D7-9834-43AF-BC41-044A29736E8C}"/>
    <cellStyle name="Note 3 2 4 4" xfId="2682" xr:uid="{9713CD43-5DD1-4D57-BA1B-EC11A6F54FEF}"/>
    <cellStyle name="Note 3 2 4 5" xfId="1853" xr:uid="{F5078B92-2EE9-4B5D-AD95-5D32E18120E2}"/>
    <cellStyle name="Note 3 2 4 6" xfId="11219" xr:uid="{4A8D28C1-EE91-49DE-9F4C-081A736C3C10}"/>
    <cellStyle name="Note 3 2 5" xfId="3095" xr:uid="{CE713323-9D2F-4803-A185-B29703FB7C9C}"/>
    <cellStyle name="Note 3 2 5 2" xfId="5324" xr:uid="{3A51A5E5-2093-45FE-86F0-55224E4D63C3}"/>
    <cellStyle name="Note 3 2 5 2 2" xfId="9542" xr:uid="{9D0CF0AF-1EF8-487D-8950-8108D6D8E1C5}"/>
    <cellStyle name="Note 3 2 5 3" xfId="7397" xr:uid="{905BD67F-64DD-4C9B-BF96-3B39C9D0E5F9}"/>
    <cellStyle name="Note 3 2 6" xfId="3508" xr:uid="{0122EE8B-0EE0-4304-A6A2-4C95619E8E7F}"/>
    <cellStyle name="Note 3 2 6 2" xfId="5737" xr:uid="{A702E96F-C646-4132-9880-D3269EF94B56}"/>
    <cellStyle name="Note 3 2 6 2 2" xfId="9955" xr:uid="{CF81DF7D-6D2D-436C-8280-E6A603E1E33F}"/>
    <cellStyle name="Note 3 2 6 3" xfId="7810" xr:uid="{A9FBA893-C33F-46FD-8E4A-85FB3A6E6C6B}"/>
    <cellStyle name="Note 3 2 7" xfId="3921" xr:uid="{375F7D0E-48A4-4D49-A753-28CB0605458C}"/>
    <cellStyle name="Note 3 2 7 2" xfId="6150" xr:uid="{CA0EC022-6AB4-482A-AA99-4185F2818517}"/>
    <cellStyle name="Note 3 2 7 2 2" xfId="10368" xr:uid="{B9E32550-046D-4FB3-B209-F6C129DEE48C}"/>
    <cellStyle name="Note 3 2 7 3" xfId="8223" xr:uid="{E715F9AA-63EC-4822-A049-3A169ABE628C}"/>
    <cellStyle name="Note 3 2 8" xfId="4357" xr:uid="{EF49576E-4AF8-47E1-B0E3-9ADA957083B5}"/>
    <cellStyle name="Note 3 2 8 2" xfId="8636" xr:uid="{4B4CDBD3-970A-4C13-8563-F2C0B2C54FEB}"/>
    <cellStyle name="Note 3 2 9" xfId="4416" xr:uid="{F2F7A956-AC2E-45C2-996D-01B122F46893}"/>
    <cellStyle name="Note 3 3" xfId="562" xr:uid="{00000000-0005-0000-0000-0000F5030000}"/>
    <cellStyle name="Note 3 3 10" xfId="6575" xr:uid="{9CC8E279-9D9F-4BBD-B53C-54141140C7DF}"/>
    <cellStyle name="Note 3 3 11" xfId="2271" xr:uid="{6A0BD088-1AD4-48A1-AD99-366A9BB34C92}"/>
    <cellStyle name="Note 3 3 12" xfId="1441" xr:uid="{C6FDB111-7D2A-48F1-8451-9810F4801FA8}"/>
    <cellStyle name="Note 3 3 13" xfId="10807" xr:uid="{1A995663-2AFC-4846-B797-E078E235B517}"/>
    <cellStyle name="Note 3 3 2" xfId="563" xr:uid="{00000000-0005-0000-0000-0000F6030000}"/>
    <cellStyle name="Note 3 3 2 10" xfId="2272" xr:uid="{87BF9A92-86A0-410C-8A06-99D24CD5DBBF}"/>
    <cellStyle name="Note 3 3 2 11" xfId="1442" xr:uid="{11C17B30-D1D6-4EB3-8C67-C8686EF2C65C}"/>
    <cellStyle name="Note 3 3 2 12" xfId="10808" xr:uid="{A4E48D3B-82AA-4382-BC0A-45EA64724ED4}"/>
    <cellStyle name="Note 3 3 2 2" xfId="1027" xr:uid="{00000000-0005-0000-0000-0000F7030000}"/>
    <cellStyle name="Note 3 3 2 2 2" xfId="4916" xr:uid="{64E651C0-43C1-437F-A6B8-199483F010BB}"/>
    <cellStyle name="Note 3 3 2 2 2 2" xfId="9134" xr:uid="{468E225C-FCDE-4095-A4A5-C7C77CE69F34}"/>
    <cellStyle name="Note 3 3 2 2 3" xfId="6989" xr:uid="{90E007E7-F132-48AF-8956-53F7D333C460}"/>
    <cellStyle name="Note 3 3 2 2 4" xfId="2687" xr:uid="{BB71A339-C94A-4CBF-A713-17B0578C193D}"/>
    <cellStyle name="Note 3 3 2 2 5" xfId="1858" xr:uid="{5EBAFB33-A3BE-45C2-B634-47CC455EA471}"/>
    <cellStyle name="Note 3 3 2 2 6" xfId="11224" xr:uid="{52679EEC-2828-4907-AA1E-2799B350A54B}"/>
    <cellStyle name="Note 3 3 2 3" xfId="3100" xr:uid="{74644F9B-E48E-434A-864C-955A51E9DEA2}"/>
    <cellStyle name="Note 3 3 2 3 2" xfId="5329" xr:uid="{9B3F359E-3BBB-44FD-8237-544E5B42D567}"/>
    <cellStyle name="Note 3 3 2 3 2 2" xfId="9547" xr:uid="{A4BC0A46-2946-417A-AAC7-E251834128B1}"/>
    <cellStyle name="Note 3 3 2 3 3" xfId="7402" xr:uid="{D40174B1-C4FB-4779-BB95-CC32C5F0C283}"/>
    <cellStyle name="Note 3 3 2 4" xfId="3513" xr:uid="{0EF23126-CA76-47C0-B0A8-A0F1378250D0}"/>
    <cellStyle name="Note 3 3 2 4 2" xfId="5742" xr:uid="{8C5E1563-E0B4-40D1-B7B5-12CD9B1D7232}"/>
    <cellStyle name="Note 3 3 2 4 2 2" xfId="9960" xr:uid="{D7B5D1CE-1054-43B4-9BEE-939E9E5C2C96}"/>
    <cellStyle name="Note 3 3 2 4 3" xfId="7815" xr:uid="{4179D9F1-4234-4FAE-8DDC-8B49C889D5A5}"/>
    <cellStyle name="Note 3 3 2 5" xfId="3926" xr:uid="{93548788-E9DF-4F9F-AC4D-2D4458F3684F}"/>
    <cellStyle name="Note 3 3 2 5 2" xfId="6155" xr:uid="{30F57C60-7746-49FD-B872-0B9BF8CD87E5}"/>
    <cellStyle name="Note 3 3 2 5 2 2" xfId="10373" xr:uid="{5EC54572-D3F5-482A-BDE1-AB8592040C51}"/>
    <cellStyle name="Note 3 3 2 5 3" xfId="8228" xr:uid="{910D46B9-3999-4534-807D-79E5471C01F9}"/>
    <cellStyle name="Note 3 3 2 6" xfId="4362" xr:uid="{B3EFB598-1BA2-4D95-9C99-9F276EF82DD2}"/>
    <cellStyle name="Note 3 3 2 6 2" xfId="8641" xr:uid="{317B7353-0855-43E0-AF66-FAEEA4192D3E}"/>
    <cellStyle name="Note 3 3 2 7" xfId="4421" xr:uid="{0B445466-131C-4545-8EBB-7AE52932CDB5}"/>
    <cellStyle name="Note 3 3 2 8" xfId="4502" xr:uid="{67397354-4D7D-4D58-91EB-FC2DCE67D716}"/>
    <cellStyle name="Note 3 3 2 8 2" xfId="8721" xr:uid="{79BED870-8C3D-44DA-80B3-73B3FD8645C4}"/>
    <cellStyle name="Note 3 3 2 9" xfId="6576" xr:uid="{29B30BF9-6682-4B7D-AC0C-559063B194A6}"/>
    <cellStyle name="Note 3 3 3" xfId="1026" xr:uid="{00000000-0005-0000-0000-0000F8030000}"/>
    <cellStyle name="Note 3 3 3 2" xfId="4915" xr:uid="{9B02B5A5-EC56-46C7-A0DA-E76446DE2435}"/>
    <cellStyle name="Note 3 3 3 2 2" xfId="9133" xr:uid="{B87075EA-7D66-4C3C-91D3-8A5CA8FA8FF4}"/>
    <cellStyle name="Note 3 3 3 3" xfId="6988" xr:uid="{8E868E0A-0DE3-49EE-914F-823545D676F7}"/>
    <cellStyle name="Note 3 3 3 4" xfId="2686" xr:uid="{E8AEA81F-AD62-4916-AE8F-F452FD73CCAE}"/>
    <cellStyle name="Note 3 3 3 5" xfId="1857" xr:uid="{0D765930-9E9E-4099-9921-C03F4640780B}"/>
    <cellStyle name="Note 3 3 3 6" xfId="11223" xr:uid="{B5A05759-8114-4B3B-9865-08DE8C61D1A8}"/>
    <cellStyle name="Note 3 3 4" xfId="3099" xr:uid="{4100754C-1FDB-43E3-B17C-5273B754A39E}"/>
    <cellStyle name="Note 3 3 4 2" xfId="5328" xr:uid="{CAA9A170-FA34-43A4-9811-08087BEAE256}"/>
    <cellStyle name="Note 3 3 4 2 2" xfId="9546" xr:uid="{FF92137F-042E-4BAC-B06E-6825522B4A95}"/>
    <cellStyle name="Note 3 3 4 3" xfId="7401" xr:uid="{1471C91A-8982-439C-97FB-DC5DF7C6BBE6}"/>
    <cellStyle name="Note 3 3 5" xfId="3512" xr:uid="{3B5C60D7-8D5E-4F68-8808-6DA2FE05CA3C}"/>
    <cellStyle name="Note 3 3 5 2" xfId="5741" xr:uid="{B72F40F3-7A54-47BB-8046-6942307801BE}"/>
    <cellStyle name="Note 3 3 5 2 2" xfId="9959" xr:uid="{29AB1FAA-070D-4C58-85E1-416A0FA9ABB9}"/>
    <cellStyle name="Note 3 3 5 3" xfId="7814" xr:uid="{01AFDDB1-C852-491B-8137-D5D5A81682C9}"/>
    <cellStyle name="Note 3 3 6" xfId="3925" xr:uid="{2585AA45-C942-4088-9D61-5158A5789137}"/>
    <cellStyle name="Note 3 3 6 2" xfId="6154" xr:uid="{BD647694-25B3-42A1-A2F2-DD1C8A0A04A7}"/>
    <cellStyle name="Note 3 3 6 2 2" xfId="10372" xr:uid="{84E2D270-6EA6-4C58-B7BE-EBD386525E2F}"/>
    <cellStyle name="Note 3 3 6 3" xfId="8227" xr:uid="{8E530B5D-5DF2-4E84-9D67-08B987B03763}"/>
    <cellStyle name="Note 3 3 7" xfId="4361" xr:uid="{484D03E9-5594-42D5-A9EB-0B471E851B04}"/>
    <cellStyle name="Note 3 3 7 2" xfId="8640" xr:uid="{DAC37BAE-1004-4DC5-9CFD-A31FF5C4B31A}"/>
    <cellStyle name="Note 3 3 8" xfId="4420" xr:uid="{1549DB63-FA51-4558-B289-D1F544C8BCCD}"/>
    <cellStyle name="Note 3 3 9" xfId="4501" xr:uid="{24289CB1-1D1B-408F-A83D-7CB222D9FC15}"/>
    <cellStyle name="Note 3 3 9 2" xfId="8720" xr:uid="{51725501-814F-4410-8C2A-134F7B8C05F7}"/>
    <cellStyle name="Note 3 4" xfId="564" xr:uid="{00000000-0005-0000-0000-0000F9030000}"/>
    <cellStyle name="Note 3 4 10" xfId="2273" xr:uid="{B8D5F341-E5AC-43F1-BC45-654F26CE6C72}"/>
    <cellStyle name="Note 3 4 11" xfId="1443" xr:uid="{46FB02D9-7B95-4359-8C2E-D2332B7E9F89}"/>
    <cellStyle name="Note 3 4 12" xfId="10809" xr:uid="{41351665-1A29-441E-AB96-AD1739478F11}"/>
    <cellStyle name="Note 3 4 2" xfId="1028" xr:uid="{00000000-0005-0000-0000-0000FA030000}"/>
    <cellStyle name="Note 3 4 2 2" xfId="4917" xr:uid="{73B64DF4-79BA-4C3F-BF27-8189897CAB03}"/>
    <cellStyle name="Note 3 4 2 2 2" xfId="9135" xr:uid="{D42CB1C0-E869-4A04-8E7D-4B7652C13F4F}"/>
    <cellStyle name="Note 3 4 2 3" xfId="6990" xr:uid="{0C0822FE-46E8-4E3E-AF41-66940E7D423C}"/>
    <cellStyle name="Note 3 4 2 4" xfId="2688" xr:uid="{1EBA2E58-CAAF-45A0-92A1-7696F906FB6C}"/>
    <cellStyle name="Note 3 4 2 5" xfId="1859" xr:uid="{5E4099EC-E022-47C2-BF13-7EC5BFFCF177}"/>
    <cellStyle name="Note 3 4 2 6" xfId="11225" xr:uid="{3437A769-5C6E-49BB-8684-5A49E8DA73FD}"/>
    <cellStyle name="Note 3 4 3" xfId="3101" xr:uid="{5AC6C363-96B9-400C-8D91-40A8AFFF25A4}"/>
    <cellStyle name="Note 3 4 3 2" xfId="5330" xr:uid="{717B71D6-1B46-4078-A51D-41763AE80B75}"/>
    <cellStyle name="Note 3 4 3 2 2" xfId="9548" xr:uid="{1EABFA68-A10F-4326-81D7-4B87D40B1438}"/>
    <cellStyle name="Note 3 4 3 3" xfId="7403" xr:uid="{7E88141C-3555-4D9F-B388-3BB6BF932B45}"/>
    <cellStyle name="Note 3 4 4" xfId="3514" xr:uid="{4F301B9C-8DD3-411D-932E-BA0E0A6CA8E5}"/>
    <cellStyle name="Note 3 4 4 2" xfId="5743" xr:uid="{5475D597-622E-41F2-B0A6-9E0BA78227CF}"/>
    <cellStyle name="Note 3 4 4 2 2" xfId="9961" xr:uid="{5804398C-5D64-449E-AC2B-D1FEEF983ABA}"/>
    <cellStyle name="Note 3 4 4 3" xfId="7816" xr:uid="{F68D461D-EB01-4E57-8B22-9D8BE512CC9D}"/>
    <cellStyle name="Note 3 4 5" xfId="3927" xr:uid="{877C3DBB-4D24-4882-A2BB-CAB29BFDE9B7}"/>
    <cellStyle name="Note 3 4 5 2" xfId="6156" xr:uid="{1E84789B-9504-43E2-8866-BD26FEF8CFEB}"/>
    <cellStyle name="Note 3 4 5 2 2" xfId="10374" xr:uid="{A5B01E58-4169-4A65-A77D-84D7C2A2B5B7}"/>
    <cellStyle name="Note 3 4 5 3" xfId="8229" xr:uid="{8C6661F9-9EE1-4299-98A9-B3E71C811873}"/>
    <cellStyle name="Note 3 4 6" xfId="4363" xr:uid="{AAD37558-3E52-43B6-AA33-B1B54270097F}"/>
    <cellStyle name="Note 3 4 6 2" xfId="8642" xr:uid="{BFDCD5DC-D89E-49AB-A026-5F9BEF4BBFD7}"/>
    <cellStyle name="Note 3 4 7" xfId="4422" xr:uid="{BD0AC73A-5845-4796-A443-4CAB585831BF}"/>
    <cellStyle name="Note 3 4 8" xfId="4503" xr:uid="{C998C4FC-BE37-45B7-A059-B0570D5EC465}"/>
    <cellStyle name="Note 3 4 8 2" xfId="8722" xr:uid="{FC14D095-3AE3-4221-A36D-B9A0E4D8A1C8}"/>
    <cellStyle name="Note 3 4 9" xfId="6577" xr:uid="{E7C29ED7-C7E3-449B-A01B-1F426F313C8D}"/>
    <cellStyle name="Note 3 5" xfId="565" xr:uid="{00000000-0005-0000-0000-0000FB030000}"/>
    <cellStyle name="Note 3 5 10" xfId="2274" xr:uid="{98800569-0C36-4949-BAD1-B02B5FFCB0B4}"/>
    <cellStyle name="Note 3 5 11" xfId="1444" xr:uid="{0AAE05A8-284C-4134-971C-FEBAB5F3EA9F}"/>
    <cellStyle name="Note 3 5 12" xfId="10810" xr:uid="{D0E885F7-525C-444C-8E12-360D3CC85E92}"/>
    <cellStyle name="Note 3 5 2" xfId="1029" xr:uid="{00000000-0005-0000-0000-0000FC030000}"/>
    <cellStyle name="Note 3 5 2 2" xfId="4918" xr:uid="{F6CBB819-B2E9-4340-9543-1573B1BE1CDC}"/>
    <cellStyle name="Note 3 5 2 2 2" xfId="9136" xr:uid="{FA195790-ED70-444E-B151-0B8940610228}"/>
    <cellStyle name="Note 3 5 2 3" xfId="6991" xr:uid="{BB33C091-624F-4FBD-AB21-95E481695068}"/>
    <cellStyle name="Note 3 5 2 4" xfId="2689" xr:uid="{51612DA8-80BB-490F-B65F-397B9AD7DBFF}"/>
    <cellStyle name="Note 3 5 2 5" xfId="1860" xr:uid="{608A5428-0CD2-4301-9832-5285C798B8F1}"/>
    <cellStyle name="Note 3 5 2 6" xfId="11226" xr:uid="{B4BD9ACA-D59A-44F3-BD36-149E60E0F26C}"/>
    <cellStyle name="Note 3 5 3" xfId="3102" xr:uid="{93FE17CA-962E-43B3-94FD-58F25DBECFE9}"/>
    <cellStyle name="Note 3 5 3 2" xfId="5331" xr:uid="{0D02EFAC-5AFB-437B-B738-118AE9F8C114}"/>
    <cellStyle name="Note 3 5 3 2 2" xfId="9549" xr:uid="{D77BDDA4-7490-4662-A472-DB403CDC256A}"/>
    <cellStyle name="Note 3 5 3 3" xfId="7404" xr:uid="{BBA91F0E-7D74-473A-8EBC-D686BF87CFE1}"/>
    <cellStyle name="Note 3 5 4" xfId="3515" xr:uid="{1EDD99A1-376C-44E1-8BA3-66FE5CAC9660}"/>
    <cellStyle name="Note 3 5 4 2" xfId="5744" xr:uid="{672D2AFC-0E17-4D20-ADBB-5BE2FFA0A8FB}"/>
    <cellStyle name="Note 3 5 4 2 2" xfId="9962" xr:uid="{61D19314-651F-49DC-90E5-08EBA0F0F866}"/>
    <cellStyle name="Note 3 5 4 3" xfId="7817" xr:uid="{DBB8FFEA-A33B-4BC3-AC68-4C262170EF8E}"/>
    <cellStyle name="Note 3 5 5" xfId="3928" xr:uid="{8FDB28F6-8806-46FD-9992-CDE4C611A603}"/>
    <cellStyle name="Note 3 5 5 2" xfId="6157" xr:uid="{4E1D84BF-124D-4520-89B6-C1EC764E8909}"/>
    <cellStyle name="Note 3 5 5 2 2" xfId="10375" xr:uid="{FA7F1466-40DF-4683-B443-C606CCD161A4}"/>
    <cellStyle name="Note 3 5 5 3" xfId="8230" xr:uid="{5DD3B335-5B14-4CEF-B6BF-915F6444F849}"/>
    <cellStyle name="Note 3 5 6" xfId="4364" xr:uid="{058F1587-6DA5-42F9-B9B3-55D5A8C8AFE8}"/>
    <cellStyle name="Note 3 5 6 2" xfId="8643" xr:uid="{8F65EA00-6D80-4785-8C70-47D9F79D41F7}"/>
    <cellStyle name="Note 3 5 7" xfId="4423" xr:uid="{D437C6A1-8DEA-4A25-9B48-36131EDF8C3B}"/>
    <cellStyle name="Note 3 5 8" xfId="4504" xr:uid="{97830753-29C3-4EA1-B4C5-A628CE9F4AA5}"/>
    <cellStyle name="Note 3 5 8 2" xfId="8723" xr:uid="{73580797-66FA-4584-8D5B-E00C709E2A45}"/>
    <cellStyle name="Note 3 5 9" xfId="6578" xr:uid="{6B127FF9-35B8-4532-A579-41514909FFC0}"/>
    <cellStyle name="Output" xfId="566" builtinId="21" customBuiltin="1"/>
    <cellStyle name="Output 2" xfId="567" xr:uid="{00000000-0005-0000-0000-0000FE030000}"/>
    <cellStyle name="Percent" xfId="573" builtinId="5"/>
    <cellStyle name="Percent 2" xfId="1030" xr:uid="{00000000-0005-0000-0000-000000040000}"/>
    <cellStyle name="Percent 20" xfId="10397" xr:uid="{A971978D-1FC2-475E-B217-26B6B1D5EBBB}"/>
    <cellStyle name="Percent 20 2" xfId="11229" xr:uid="{A9C10E8B-DB17-4C70-84FF-6EC4F76436FC}"/>
    <cellStyle name="Percent 3" xfId="577" xr:uid="{00000000-0005-0000-0000-000001040000}"/>
    <cellStyle name="Percent 3 2" xfId="6161" xr:uid="{CB215FA9-9A7A-4F25-A9D5-D77ADA7873DE}"/>
    <cellStyle name="Percent 3 3" xfId="1447" xr:uid="{D9926B89-1FF4-4CA7-9212-4E790923734A}"/>
    <cellStyle name="Percent 3 4" xfId="10813" xr:uid="{06A726EF-FF64-4DC7-934E-9187DA290D2A}"/>
    <cellStyle name="Percent 4" xfId="6164" xr:uid="{0B864957-F3A2-4ED3-A7C5-041CA2739D04}"/>
    <cellStyle name="Percent 4 2" xfId="10378" xr:uid="{6E371B14-DB6B-491B-AA02-400B8234A259}"/>
    <cellStyle name="Percent 4 3" xfId="10381" xr:uid="{5D3CE2B5-363A-406F-BB5B-4AFC216AEA69}"/>
    <cellStyle name="Percent 4 3 2" xfId="10384" xr:uid="{3408E265-B813-4200-A913-9E2634429975}"/>
    <cellStyle name="Percent 4 3 2 2" xfId="10387" xr:uid="{B4B023F6-6F66-40FD-A6E3-25EF5AAB6F7C}"/>
    <cellStyle name="Percent 4 3 2 2 2" xfId="10391" xr:uid="{34DDBC2B-1B8D-49BB-ADD9-19B80F40AC9F}"/>
    <cellStyle name="Percent 4 3 2 2 2 2" xfId="10394" xr:uid="{F3F355F1-3AE8-4187-BDE7-FEF1BDC4ECF5}"/>
    <cellStyle name="Text Entry" xfId="568" xr:uid="{00000000-0005-0000-0000-000002040000}"/>
    <cellStyle name="Title 2" xfId="569" xr:uid="{00000000-0005-0000-0000-000003040000}"/>
    <cellStyle name="Title 2 2" xfId="4424" xr:uid="{F06C538D-4404-45D9-B9CB-2E7DD9E4ADC6}"/>
    <cellStyle name="Title 2 3" xfId="4505" xr:uid="{7ABEA621-DDE1-4B1F-98B6-95A012C2801B}"/>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88" t="s">
        <v>1859</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5"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7" t="s">
        <v>2139</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 customHeight="1">
      <c r="A19" s="5"/>
      <c r="C19" s="3"/>
      <c r="D19" s="980" t="s">
        <v>2324</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2318</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2319</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2325</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2003</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1286</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1143</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77" t="s">
        <v>1681</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7" t="s">
        <v>2141</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7" t="s">
        <v>2142</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197</v>
      </c>
      <c r="G51" s="987" t="s">
        <v>2143</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7" t="s">
        <v>1684</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197</v>
      </c>
      <c r="G61" s="977" t="s">
        <v>1683</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7" t="s">
        <v>1685</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197</v>
      </c>
      <c r="G67" s="977" t="s">
        <v>1686</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1699</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1700</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7" t="s">
        <v>1687</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1688</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7" t="s">
        <v>1692</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1693</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1694</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1695</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7" t="s">
        <v>1696</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7" t="s">
        <v>1697</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6" t="s">
        <v>1698</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7" t="s">
        <v>1701</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77" t="s">
        <v>1702</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7" t="s">
        <v>1703</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7" t="s">
        <v>2289</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901</v>
      </c>
      <c r="F235" s="5" t="s">
        <v>245</v>
      </c>
      <c r="G235" s="5"/>
      <c r="H235" s="5"/>
      <c r="I235" s="5"/>
      <c r="M235" s="5"/>
      <c r="N235" s="5"/>
      <c r="O235" s="5"/>
      <c r="P235" s="5"/>
      <c r="Q235" s="5"/>
      <c r="R235" s="5"/>
      <c r="S235" s="5"/>
    </row>
    <row r="236" spans="1:38">
      <c r="B236" s="5"/>
      <c r="C236" s="5"/>
      <c r="F236" s="5" t="s">
        <v>821</v>
      </c>
      <c r="G236" s="977" t="s">
        <v>1704</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7" t="s">
        <v>1809</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900</v>
      </c>
      <c r="F348" s="977" t="s">
        <v>1810</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901</v>
      </c>
      <c r="F352" s="977" t="s">
        <v>1811</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4" customFormat="1">
      <c r="A365"/>
      <c r="B365" s="3"/>
      <c r="C365"/>
      <c r="D365"/>
      <c r="E365" s="984" t="s">
        <v>1806</v>
      </c>
    </row>
    <row r="366" spans="1:38" s="984" customFormat="1">
      <c r="A366"/>
      <c r="B366" s="3"/>
      <c r="C366"/>
      <c r="D366"/>
    </row>
    <row r="367" spans="1:38">
      <c r="B367" s="3"/>
      <c r="F367" s="982" t="s">
        <v>1807</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1" workbookViewId="0">
      <selection activeCell="E87" sqref="E87"/>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79" t="s">
        <v>1851</v>
      </c>
      <c r="B1" s="1979"/>
      <c r="C1" s="1979"/>
      <c r="D1" s="1979"/>
      <c r="E1" s="1979"/>
      <c r="F1" s="1979"/>
      <c r="G1" s="1979"/>
      <c r="H1" s="1979"/>
      <c r="I1" s="1979"/>
      <c r="J1" s="1979"/>
      <c r="K1" s="1979"/>
      <c r="L1" s="1979"/>
      <c r="M1" s="1979"/>
      <c r="N1" s="1979"/>
      <c r="O1" s="1979"/>
      <c r="P1" s="1979"/>
      <c r="Q1" s="1979"/>
      <c r="R1" s="1979"/>
      <c r="S1" s="1979"/>
    </row>
    <row r="2" spans="1:19" ht="15" customHeight="1">
      <c r="A2" s="1979"/>
      <c r="B2" s="1979"/>
      <c r="C2" s="1979"/>
      <c r="D2" s="1979"/>
      <c r="E2" s="1979"/>
      <c r="F2" s="1979"/>
      <c r="G2" s="1979"/>
      <c r="H2" s="1979"/>
      <c r="I2" s="1979"/>
      <c r="J2" s="1979"/>
      <c r="K2" s="1979"/>
      <c r="L2" s="1979"/>
      <c r="M2" s="1979"/>
      <c r="N2" s="1979"/>
      <c r="O2" s="1979"/>
      <c r="P2" s="1979"/>
      <c r="Q2" s="1979"/>
      <c r="R2" s="1979"/>
      <c r="S2" s="1979"/>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63" t="s">
        <v>2105</v>
      </c>
      <c r="C4" s="1963"/>
      <c r="D4" s="1963"/>
      <c r="E4" s="1963"/>
      <c r="F4" s="1963"/>
      <c r="G4" s="1963"/>
      <c r="H4" s="1963"/>
      <c r="I4" s="1963"/>
      <c r="J4" s="1963"/>
      <c r="K4" s="1963"/>
      <c r="L4" s="1963"/>
      <c r="M4" s="1963"/>
      <c r="N4" s="1963"/>
      <c r="O4" s="1963"/>
      <c r="P4" s="1963"/>
      <c r="Q4" s="1963"/>
      <c r="R4" s="1963"/>
    </row>
    <row r="5" spans="1:19" ht="15" customHeight="1">
      <c r="A5" s="504"/>
      <c r="B5" s="1963"/>
      <c r="C5" s="1963"/>
      <c r="D5" s="1963"/>
      <c r="E5" s="1963"/>
      <c r="F5" s="1963"/>
      <c r="G5" s="1963"/>
      <c r="H5" s="1963"/>
      <c r="I5" s="1963"/>
      <c r="J5" s="1963"/>
      <c r="K5" s="1963"/>
      <c r="L5" s="1963"/>
      <c r="M5" s="1963"/>
      <c r="N5" s="1963"/>
      <c r="O5" s="1963"/>
      <c r="P5" s="1963"/>
      <c r="Q5" s="1963"/>
      <c r="R5" s="1963"/>
    </row>
    <row r="6" spans="1:19" ht="15" customHeight="1">
      <c r="A6" s="504"/>
      <c r="B6" s="1963"/>
      <c r="C6" s="1963"/>
      <c r="D6" s="1963"/>
      <c r="E6" s="1963"/>
      <c r="F6" s="1963"/>
      <c r="G6" s="1963"/>
      <c r="H6" s="1963"/>
      <c r="I6" s="1963"/>
      <c r="J6" s="1963"/>
      <c r="K6" s="1963"/>
      <c r="L6" s="1963"/>
      <c r="M6" s="1963"/>
      <c r="N6" s="1963"/>
      <c r="O6" s="1963"/>
      <c r="P6" s="1963"/>
      <c r="Q6" s="1963"/>
      <c r="R6" s="1963"/>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63" t="s">
        <v>2211</v>
      </c>
      <c r="C8" s="1963"/>
      <c r="D8" s="1963"/>
      <c r="E8" s="1963"/>
      <c r="F8" s="1963"/>
      <c r="G8" s="1963"/>
      <c r="H8" s="1963"/>
      <c r="I8" s="1963"/>
      <c r="J8" s="1963"/>
      <c r="K8" s="1963"/>
      <c r="L8" s="1963"/>
      <c r="M8" s="1963"/>
      <c r="N8" s="1963"/>
      <c r="O8" s="1963"/>
      <c r="P8" s="1963"/>
      <c r="Q8" s="1963"/>
      <c r="R8" s="1963"/>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63" t="s">
        <v>2190</v>
      </c>
      <c r="C10" s="1963"/>
      <c r="D10" s="1963"/>
      <c r="E10" s="1963"/>
      <c r="F10" s="1963"/>
      <c r="G10" s="1963"/>
      <c r="H10" s="1963"/>
      <c r="I10" s="1963"/>
      <c r="J10" s="1963"/>
      <c r="K10" s="1963"/>
      <c r="L10" s="1963"/>
      <c r="M10" s="1963"/>
      <c r="N10" s="1963"/>
      <c r="O10" s="1963"/>
      <c r="P10" s="1963"/>
      <c r="Q10" s="1963"/>
      <c r="R10" s="1963"/>
    </row>
    <row r="11" spans="1:19" ht="29.25" customHeight="1">
      <c r="A11" s="504"/>
      <c r="B11" s="1963"/>
      <c r="C11" s="1963"/>
      <c r="D11" s="1963"/>
      <c r="E11" s="1963"/>
      <c r="F11" s="1963"/>
      <c r="G11" s="1963"/>
      <c r="H11" s="1963"/>
      <c r="I11" s="1963"/>
      <c r="J11" s="1963"/>
      <c r="K11" s="1963"/>
      <c r="L11" s="1963"/>
      <c r="M11" s="1963"/>
      <c r="N11" s="1963"/>
      <c r="O11" s="1963"/>
      <c r="P11" s="1963"/>
      <c r="Q11" s="1963"/>
      <c r="R11" s="1963"/>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63" t="s">
        <v>2106</v>
      </c>
      <c r="C13" s="1963"/>
      <c r="D13" s="1963"/>
      <c r="E13" s="1963"/>
      <c r="F13" s="1963"/>
      <c r="G13" s="1963"/>
      <c r="H13" s="1963"/>
      <c r="I13" s="1963"/>
      <c r="J13" s="1963"/>
      <c r="K13" s="1963"/>
      <c r="L13" s="1963"/>
      <c r="M13" s="1963"/>
      <c r="N13" s="1963"/>
      <c r="O13" s="1963"/>
      <c r="P13" s="1963"/>
      <c r="Q13" s="1963"/>
      <c r="R13" s="1963"/>
    </row>
    <row r="14" spans="1:19" ht="15" customHeight="1">
      <c r="A14" s="504"/>
      <c r="B14" s="1963"/>
      <c r="C14" s="1963"/>
      <c r="D14" s="1963"/>
      <c r="E14" s="1963"/>
      <c r="F14" s="1963"/>
      <c r="G14" s="1963"/>
      <c r="H14" s="1963"/>
      <c r="I14" s="1963"/>
      <c r="J14" s="1963"/>
      <c r="K14" s="1963"/>
      <c r="L14" s="1963"/>
      <c r="M14" s="1963"/>
      <c r="N14" s="1963"/>
      <c r="O14" s="1963"/>
      <c r="P14" s="1963"/>
      <c r="Q14" s="1963"/>
      <c r="R14" s="1963"/>
    </row>
    <row r="15" spans="1:19" ht="15" customHeight="1">
      <c r="A15" s="504"/>
      <c r="B15" s="1963"/>
      <c r="C15" s="1963"/>
      <c r="D15" s="1963"/>
      <c r="E15" s="1963"/>
      <c r="F15" s="1963"/>
      <c r="G15" s="1963"/>
      <c r="H15" s="1963"/>
      <c r="I15" s="1963"/>
      <c r="J15" s="1963"/>
      <c r="K15" s="1963"/>
      <c r="L15" s="1963"/>
      <c r="M15" s="1963"/>
      <c r="N15" s="1963"/>
      <c r="O15" s="1963"/>
      <c r="P15" s="1963"/>
      <c r="Q15" s="1963"/>
      <c r="R15" s="1963"/>
    </row>
    <row r="16" spans="1:19" ht="15" customHeight="1">
      <c r="A16" s="504"/>
      <c r="B16" s="1963"/>
      <c r="C16" s="1963"/>
      <c r="D16" s="1963"/>
      <c r="E16" s="1963"/>
      <c r="F16" s="1963"/>
      <c r="G16" s="1963"/>
      <c r="H16" s="1963"/>
      <c r="I16" s="1963"/>
      <c r="J16" s="1963"/>
      <c r="K16" s="1963"/>
      <c r="L16" s="1963"/>
      <c r="M16" s="1963"/>
      <c r="N16" s="1963"/>
      <c r="O16" s="1963"/>
      <c r="P16" s="1963"/>
      <c r="Q16" s="1963"/>
      <c r="R16" s="1963"/>
    </row>
    <row r="17" spans="1:18" ht="15" customHeight="1">
      <c r="A17" s="504"/>
      <c r="B17" s="1963"/>
      <c r="C17" s="1963"/>
      <c r="D17" s="1963"/>
      <c r="E17" s="1963"/>
      <c r="F17" s="1963"/>
      <c r="G17" s="1963"/>
      <c r="H17" s="1963"/>
      <c r="I17" s="1963"/>
      <c r="J17" s="1963"/>
      <c r="K17" s="1963"/>
      <c r="L17" s="1963"/>
      <c r="M17" s="1963"/>
      <c r="N17" s="1963"/>
      <c r="O17" s="1963"/>
      <c r="P17" s="1963"/>
      <c r="Q17" s="1963"/>
      <c r="R17" s="1963"/>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63" t="s">
        <v>1790</v>
      </c>
      <c r="C19" s="1963"/>
      <c r="D19" s="1963"/>
      <c r="E19" s="1963"/>
      <c r="F19" s="1963"/>
      <c r="G19" s="1963"/>
      <c r="H19" s="1963"/>
      <c r="I19" s="1963"/>
      <c r="J19" s="1963"/>
      <c r="K19" s="1963"/>
      <c r="L19" s="1963"/>
      <c r="M19" s="1963"/>
      <c r="N19" s="1963"/>
      <c r="O19" s="1963"/>
      <c r="P19" s="1963"/>
      <c r="Q19" s="1963"/>
      <c r="R19" s="1963"/>
    </row>
    <row r="20" spans="1:18" ht="15" customHeight="1">
      <c r="A20" s="504"/>
      <c r="B20" s="1963"/>
      <c r="C20" s="1963"/>
      <c r="D20" s="1963"/>
      <c r="E20" s="1963"/>
      <c r="F20" s="1963"/>
      <c r="G20" s="1963"/>
      <c r="H20" s="1963"/>
      <c r="I20" s="1963"/>
      <c r="J20" s="1963"/>
      <c r="K20" s="1963"/>
      <c r="L20" s="1963"/>
      <c r="M20" s="1963"/>
      <c r="N20" s="1963"/>
      <c r="O20" s="1963"/>
      <c r="P20" s="1963"/>
      <c r="Q20" s="1963"/>
      <c r="R20" s="1963"/>
    </row>
    <row r="21" spans="1:18" ht="15" customHeight="1">
      <c r="A21" s="504"/>
      <c r="B21" s="1963"/>
      <c r="C21" s="1963"/>
      <c r="D21" s="1963"/>
      <c r="E21" s="1963"/>
      <c r="F21" s="1963"/>
      <c r="G21" s="1963"/>
      <c r="H21" s="1963"/>
      <c r="I21" s="1963"/>
      <c r="J21" s="1963"/>
      <c r="K21" s="1963"/>
      <c r="L21" s="1963"/>
      <c r="M21" s="1963"/>
      <c r="N21" s="1963"/>
      <c r="O21" s="1963"/>
      <c r="P21" s="1963"/>
      <c r="Q21" s="1963"/>
      <c r="R21" s="1963"/>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63" t="s">
        <v>1791</v>
      </c>
      <c r="C23" s="1963"/>
      <c r="D23" s="1963"/>
      <c r="E23" s="1963"/>
      <c r="F23" s="1963"/>
      <c r="G23" s="1963"/>
      <c r="H23" s="1963"/>
      <c r="I23" s="1963"/>
      <c r="J23" s="1963"/>
      <c r="K23" s="1963"/>
      <c r="L23" s="1963"/>
      <c r="M23" s="1963"/>
      <c r="N23" s="1963"/>
      <c r="O23" s="1963"/>
      <c r="P23" s="1963"/>
      <c r="Q23" s="1963"/>
      <c r="R23" s="1963"/>
    </row>
    <row r="24" spans="1:18" ht="15" customHeight="1">
      <c r="B24" s="1963"/>
      <c r="C24" s="1963"/>
      <c r="D24" s="1963"/>
      <c r="E24" s="1963"/>
      <c r="F24" s="1963"/>
      <c r="G24" s="1963"/>
      <c r="H24" s="1963"/>
      <c r="I24" s="1963"/>
      <c r="J24" s="1963"/>
      <c r="K24" s="1963"/>
      <c r="L24" s="1963"/>
      <c r="M24" s="1963"/>
      <c r="N24" s="1963"/>
      <c r="O24" s="1963"/>
      <c r="P24" s="1963"/>
      <c r="Q24" s="1963"/>
      <c r="R24" s="1963"/>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63" t="s">
        <v>1689</v>
      </c>
      <c r="C26" s="1963"/>
      <c r="D26" s="1963"/>
      <c r="E26" s="1963"/>
      <c r="F26" s="1963"/>
      <c r="G26" s="1963"/>
      <c r="H26" s="1963"/>
      <c r="I26" s="1963"/>
      <c r="J26" s="1963"/>
      <c r="K26" s="1963"/>
      <c r="L26" s="1963"/>
      <c r="M26" s="1963"/>
      <c r="N26" s="1963"/>
      <c r="O26" s="1963"/>
      <c r="P26" s="1963"/>
      <c r="Q26" s="1963"/>
      <c r="R26" s="1963"/>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1" t="s">
        <v>1603</v>
      </c>
      <c r="C29" s="1971"/>
      <c r="D29" s="1971"/>
      <c r="E29" s="1971"/>
      <c r="F29" s="1971"/>
      <c r="G29" s="1971"/>
      <c r="H29" s="373"/>
      <c r="I29" s="373"/>
      <c r="J29" s="373"/>
      <c r="K29" s="373"/>
      <c r="L29" s="373"/>
      <c r="M29" s="373"/>
      <c r="N29" s="373"/>
      <c r="O29" s="1969" t="s">
        <v>1612</v>
      </c>
    </row>
    <row r="30" spans="1:18" ht="15" customHeight="1">
      <c r="B30" s="1971"/>
      <c r="C30" s="1971"/>
      <c r="D30" s="1971"/>
      <c r="E30" s="1971"/>
      <c r="F30" s="1971"/>
      <c r="G30" s="1971"/>
      <c r="H30" s="373"/>
      <c r="I30" s="373"/>
      <c r="J30" s="373"/>
      <c r="K30" s="373"/>
      <c r="L30" s="373"/>
      <c r="M30" s="373"/>
      <c r="N30" s="373"/>
      <c r="O30" s="1969"/>
    </row>
    <row r="31" spans="1:18" ht="15" customHeight="1">
      <c r="B31" s="1971"/>
      <c r="C31" s="1971"/>
      <c r="D31" s="1971"/>
      <c r="E31" s="1971"/>
      <c r="F31" s="1971"/>
      <c r="G31" s="1971"/>
      <c r="H31" s="373"/>
      <c r="I31" s="373"/>
      <c r="J31" s="373"/>
      <c r="K31" s="373"/>
      <c r="L31" s="373"/>
      <c r="M31" s="373"/>
      <c r="N31" s="373"/>
      <c r="O31" s="1969"/>
    </row>
    <row r="32" spans="1:18" ht="15" customHeight="1">
      <c r="B32" s="1972"/>
      <c r="C32" s="1972"/>
      <c r="D32" s="1972"/>
      <c r="E32" s="1972"/>
      <c r="F32" s="1972"/>
      <c r="G32" s="1972"/>
      <c r="I32" s="1973" t="s">
        <v>139</v>
      </c>
      <c r="J32" s="1974" t="s">
        <v>992</v>
      </c>
      <c r="K32" s="1975">
        <v>1</v>
      </c>
      <c r="M32" s="506"/>
      <c r="O32" s="1970"/>
      <c r="P32" s="1974" t="s">
        <v>1929</v>
      </c>
    </row>
    <row r="33" spans="1:21" ht="15" customHeight="1">
      <c r="B33" s="1976" t="s">
        <v>1607</v>
      </c>
      <c r="C33" s="1976"/>
      <c r="D33" s="1976"/>
      <c r="E33" s="1976"/>
      <c r="F33" s="1976"/>
      <c r="G33" s="1976"/>
      <c r="I33" s="1973"/>
      <c r="J33" s="1974"/>
      <c r="K33" s="1975"/>
      <c r="M33" s="507"/>
      <c r="O33" s="1976" t="s">
        <v>1607</v>
      </c>
      <c r="P33" s="1974"/>
    </row>
    <row r="34" spans="1:21" ht="15" customHeight="1">
      <c r="B34" s="1973"/>
      <c r="C34" s="1973"/>
      <c r="D34" s="1973"/>
      <c r="E34" s="1973"/>
      <c r="F34" s="1973"/>
      <c r="G34" s="1973"/>
      <c r="I34" s="645"/>
      <c r="J34" s="644"/>
      <c r="K34" s="524"/>
      <c r="M34" s="507"/>
      <c r="O34" s="1973"/>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80" t="s">
        <v>1597</v>
      </c>
      <c r="C37" s="1980"/>
      <c r="D37" s="1980"/>
      <c r="E37" s="1980"/>
      <c r="F37" s="513"/>
      <c r="G37" s="513"/>
      <c r="H37" s="514"/>
      <c r="I37" s="373"/>
      <c r="J37" s="373"/>
      <c r="L37" s="526"/>
      <c r="M37" s="526"/>
      <c r="N37" s="526"/>
      <c r="O37" s="526"/>
      <c r="P37" s="526"/>
      <c r="Q37" s="526"/>
      <c r="R37" s="526"/>
      <c r="S37" s="526"/>
    </row>
    <row r="38" spans="1:21" ht="15" customHeight="1">
      <c r="B38" s="1985" t="s">
        <v>1613</v>
      </c>
      <c r="C38" s="1985"/>
      <c r="D38" s="1985"/>
      <c r="E38" s="1985"/>
      <c r="F38" s="647"/>
      <c r="G38" s="515">
        <f>D110</f>
        <v>0</v>
      </c>
      <c r="H38" s="381"/>
      <c r="I38" s="516"/>
      <c r="J38" s="381"/>
      <c r="K38" s="1992" t="s">
        <v>2208</v>
      </c>
      <c r="L38" s="1992"/>
      <c r="M38" s="1992"/>
      <c r="N38" s="1992"/>
      <c r="O38" s="1992"/>
      <c r="P38" s="1992"/>
      <c r="Q38" s="1992"/>
      <c r="R38" s="1992"/>
      <c r="S38" s="1992"/>
    </row>
    <row r="39" spans="1:21" ht="15" customHeight="1">
      <c r="B39" s="1986" t="s">
        <v>1283</v>
      </c>
      <c r="C39" s="1986"/>
      <c r="D39" s="1986"/>
      <c r="E39" s="1986"/>
      <c r="F39" s="647"/>
      <c r="G39" s="629"/>
      <c r="H39" s="381"/>
      <c r="I39" s="516"/>
      <c r="J39" s="381"/>
      <c r="K39" s="1992"/>
      <c r="L39" s="1992"/>
      <c r="M39" s="1992"/>
      <c r="N39" s="1992"/>
      <c r="O39" s="1992"/>
      <c r="P39" s="1992"/>
      <c r="Q39" s="1992"/>
      <c r="R39" s="1992"/>
      <c r="S39" s="1992"/>
    </row>
    <row r="40" spans="1:21" ht="15" customHeight="1">
      <c r="B40" s="1986" t="s">
        <v>1284</v>
      </c>
      <c r="C40" s="1986"/>
      <c r="D40" s="1986"/>
      <c r="E40" s="1986"/>
      <c r="F40" s="647"/>
      <c r="G40" s="629"/>
      <c r="H40" s="381"/>
      <c r="I40" s="516"/>
      <c r="J40" s="381"/>
      <c r="K40" s="1992"/>
      <c r="L40" s="1992"/>
      <c r="M40" s="1992"/>
      <c r="N40" s="1992"/>
      <c r="O40" s="1992"/>
      <c r="P40" s="1992"/>
      <c r="Q40" s="1992"/>
      <c r="R40" s="1992"/>
      <c r="S40" s="1992"/>
    </row>
    <row r="41" spans="1:21" ht="15" customHeight="1">
      <c r="B41" s="1987" t="s">
        <v>1608</v>
      </c>
      <c r="C41" s="1987"/>
      <c r="D41" s="1987"/>
      <c r="E41" s="1987"/>
      <c r="F41" s="647"/>
      <c r="G41" s="381"/>
      <c r="H41" s="381"/>
      <c r="I41" s="516"/>
      <c r="J41" s="381"/>
      <c r="K41" s="1991" t="s">
        <v>124</v>
      </c>
      <c r="L41" s="1991"/>
      <c r="M41" s="1991"/>
      <c r="N41" s="1991"/>
      <c r="O41" s="1991"/>
      <c r="P41" s="1991"/>
      <c r="Q41" s="1991"/>
      <c r="R41" s="1991"/>
      <c r="S41" s="1991"/>
    </row>
    <row r="42" spans="1:21" ht="15" customHeight="1">
      <c r="B42" s="631" t="s">
        <v>2446</v>
      </c>
      <c r="C42" s="631"/>
      <c r="D42" s="625"/>
      <c r="E42" s="649">
        <f>+Application!AO633</f>
        <v>2661400</v>
      </c>
      <c r="F42" s="647"/>
      <c r="G42" s="381"/>
      <c r="H42" s="381"/>
      <c r="I42" s="516"/>
      <c r="J42" s="381"/>
      <c r="K42" s="1990"/>
      <c r="L42" s="1990"/>
      <c r="M42" s="1990"/>
      <c r="N42" s="1990"/>
      <c r="O42" s="1990"/>
      <c r="Q42" s="1993"/>
      <c r="R42" s="1993"/>
      <c r="U42" s="751" t="s">
        <v>124</v>
      </c>
    </row>
    <row r="43" spans="1:21" ht="15" customHeight="1">
      <c r="B43" s="631" t="s">
        <v>2334</v>
      </c>
      <c r="C43" s="631"/>
      <c r="D43" s="501"/>
      <c r="E43" s="649">
        <f>+Application!AO632</f>
        <v>750000</v>
      </c>
      <c r="F43" s="647"/>
      <c r="G43" s="381"/>
      <c r="H43" s="381"/>
      <c r="I43" s="516"/>
      <c r="J43" s="381"/>
      <c r="L43" s="381"/>
      <c r="M43" s="373"/>
      <c r="N43" s="373"/>
      <c r="O43" s="373"/>
      <c r="Q43" s="517"/>
      <c r="R43" s="517"/>
      <c r="U43" s="751" t="s">
        <v>2207</v>
      </c>
    </row>
    <row r="44" spans="1:21" ht="15" customHeight="1">
      <c r="B44" s="631"/>
      <c r="C44" s="631"/>
      <c r="D44" s="501"/>
      <c r="E44" s="649"/>
      <c r="F44" s="647"/>
      <c r="G44" s="381"/>
      <c r="H44" s="381"/>
      <c r="I44" s="516"/>
      <c r="K44" s="380" t="s">
        <v>1842</v>
      </c>
      <c r="Q44" s="1993"/>
      <c r="R44" s="1993"/>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67" t="s">
        <v>1838</v>
      </c>
      <c r="L46" s="1967"/>
      <c r="M46" s="1967"/>
      <c r="N46" s="1967"/>
      <c r="O46" s="1967"/>
      <c r="Q46" s="1964"/>
      <c r="R46" s="1964"/>
    </row>
    <row r="47" spans="1:21" ht="15" customHeight="1">
      <c r="B47" s="631"/>
      <c r="C47" s="631"/>
      <c r="D47" s="501"/>
      <c r="E47" s="649"/>
      <c r="F47" s="647"/>
      <c r="G47" s="381"/>
      <c r="H47" s="381"/>
      <c r="I47" s="516"/>
      <c r="J47" s="381"/>
      <c r="K47" s="1968" t="s">
        <v>1839</v>
      </c>
      <c r="L47" s="1968"/>
      <c r="M47" s="1968"/>
      <c r="N47" s="1968"/>
      <c r="O47" s="1968"/>
      <c r="Q47" s="1966"/>
      <c r="R47" s="1966"/>
    </row>
    <row r="48" spans="1:21" ht="15" customHeight="1">
      <c r="B48" s="631"/>
      <c r="C48" s="631"/>
      <c r="D48" s="501"/>
      <c r="E48" s="649"/>
      <c r="F48" s="647"/>
      <c r="G48" s="381"/>
      <c r="H48" s="381"/>
      <c r="I48" s="516"/>
      <c r="J48" s="381"/>
      <c r="K48" s="1965" t="s">
        <v>1840</v>
      </c>
      <c r="L48" s="1965"/>
      <c r="M48" s="1965"/>
      <c r="N48" s="1965"/>
      <c r="O48" s="1965"/>
      <c r="Q48" s="1967">
        <f>Q46+Q47</f>
        <v>0</v>
      </c>
      <c r="R48" s="1967"/>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85" t="s">
        <v>1604</v>
      </c>
      <c r="C52" s="1985"/>
      <c r="D52" s="1985"/>
      <c r="E52" s="1985"/>
      <c r="F52" s="647"/>
      <c r="G52" s="515">
        <f>SUM(E42:E49)-ABS(E50)-ABS(E51)</f>
        <v>3411400</v>
      </c>
      <c r="H52" s="381"/>
      <c r="I52" s="516"/>
      <c r="J52" s="381"/>
    </row>
    <row r="53" spans="1:29" ht="15" customHeight="1">
      <c r="C53" s="520"/>
      <c r="D53" s="520" t="s">
        <v>875</v>
      </c>
      <c r="E53" s="520"/>
      <c r="F53" s="520"/>
      <c r="G53" s="521">
        <f>SUM(G38:G40)+G52</f>
        <v>3411400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88" t="s">
        <v>1264</v>
      </c>
      <c r="C56" s="1988"/>
      <c r="D56" s="647"/>
      <c r="E56" s="647"/>
      <c r="F56" s="647"/>
      <c r="G56" s="647"/>
      <c r="H56" s="647"/>
      <c r="I56" s="647"/>
      <c r="J56" s="647"/>
      <c r="K56" s="647"/>
      <c r="L56" s="647"/>
      <c r="M56" s="647"/>
      <c r="N56" s="647"/>
      <c r="O56" s="647"/>
      <c r="P56" s="647"/>
      <c r="U56" s="948" t="s">
        <v>1785</v>
      </c>
      <c r="AC56" s="949">
        <v>0.2</v>
      </c>
    </row>
    <row r="57" spans="1:29" ht="15" customHeight="1">
      <c r="A57" s="518"/>
      <c r="B57" s="1989" t="s">
        <v>1599</v>
      </c>
      <c r="C57" s="1989"/>
      <c r="D57" s="1989"/>
      <c r="E57" s="1989"/>
      <c r="F57" s="1989"/>
      <c r="G57" s="1989"/>
      <c r="H57" s="1989"/>
      <c r="I57" s="1989"/>
      <c r="J57" s="1989"/>
      <c r="K57" s="1989"/>
      <c r="L57" s="1989"/>
      <c r="M57" s="1989"/>
      <c r="N57" s="1989"/>
      <c r="O57" s="1989"/>
      <c r="P57" s="647"/>
      <c r="U57" s="948" t="s">
        <v>1786</v>
      </c>
      <c r="AC57" s="949">
        <v>0.1</v>
      </c>
    </row>
    <row r="58" spans="1:29" ht="15" customHeight="1">
      <c r="B58" s="1980" t="s">
        <v>2206</v>
      </c>
      <c r="C58" s="1981"/>
      <c r="D58" s="1981"/>
      <c r="E58" s="1981"/>
      <c r="F58" s="523"/>
      <c r="G58" s="523"/>
      <c r="H58" s="513"/>
      <c r="I58" s="513"/>
      <c r="J58" s="1982">
        <f>('Sources and Uses Budget'!D104+Q47)/('Sources and Uses Budget'!B104+Q48)</f>
        <v>0</v>
      </c>
      <c r="K58" s="1983"/>
      <c r="L58" s="1983"/>
      <c r="M58" s="1983"/>
      <c r="N58" s="1984"/>
      <c r="O58" s="513"/>
      <c r="P58" s="513"/>
      <c r="U58" s="948" t="s">
        <v>1787</v>
      </c>
      <c r="AC58" s="949">
        <v>0.1</v>
      </c>
    </row>
    <row r="59" spans="1:29" ht="15" customHeight="1">
      <c r="B59" s="1963" t="s">
        <v>2107</v>
      </c>
      <c r="C59" s="1963"/>
      <c r="D59" s="1963"/>
      <c r="E59" s="1963"/>
      <c r="F59" s="1963"/>
      <c r="G59" s="1963"/>
      <c r="H59" s="1963"/>
      <c r="I59" s="1963"/>
      <c r="J59" s="1963"/>
      <c r="K59" s="1963"/>
      <c r="L59" s="1963"/>
      <c r="M59" s="1963"/>
      <c r="N59" s="1963"/>
      <c r="O59" s="1963"/>
      <c r="P59" s="513"/>
      <c r="U59" s="948" t="s">
        <v>1788</v>
      </c>
      <c r="AC59" s="949">
        <v>0.05</v>
      </c>
    </row>
    <row r="60" spans="1:29" ht="15" customHeight="1">
      <c r="B60" s="1963"/>
      <c r="C60" s="1963"/>
      <c r="D60" s="1963"/>
      <c r="E60" s="1963"/>
      <c r="F60" s="1963"/>
      <c r="G60" s="1963"/>
      <c r="H60" s="1963"/>
      <c r="I60" s="1963"/>
      <c r="J60" s="1963"/>
      <c r="K60" s="1963"/>
      <c r="L60" s="1963"/>
      <c r="M60" s="1963"/>
      <c r="N60" s="1963"/>
      <c r="O60" s="1963"/>
      <c r="P60" s="513"/>
      <c r="AC60" s="950"/>
    </row>
    <row r="61" spans="1:29" ht="15" customHeight="1">
      <c r="B61" s="198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89"/>
      <c r="D61" s="1989"/>
      <c r="E61" s="1989"/>
      <c r="F61" s="1989"/>
      <c r="G61" s="1989"/>
      <c r="H61" s="1989"/>
      <c r="I61" s="1989"/>
      <c r="J61" s="1989"/>
      <c r="K61" s="1989"/>
      <c r="L61" s="1989"/>
      <c r="M61" s="1989"/>
      <c r="N61" s="1989"/>
      <c r="O61" s="1989"/>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95" t="s">
        <v>2209</v>
      </c>
      <c r="K63" s="1996"/>
      <c r="L63" s="1996"/>
      <c r="M63" s="1996"/>
      <c r="N63" s="1996"/>
      <c r="O63" s="1996"/>
      <c r="P63" s="1996"/>
      <c r="Q63" s="1996"/>
      <c r="R63" s="1996"/>
    </row>
    <row r="64" spans="1:29" ht="15" customHeight="1" thickBot="1">
      <c r="B64" s="1988" t="s">
        <v>1609</v>
      </c>
      <c r="C64" s="1988"/>
      <c r="D64" s="373"/>
      <c r="F64" s="373"/>
      <c r="G64" s="520" t="s">
        <v>1841</v>
      </c>
      <c r="H64" s="373"/>
      <c r="I64" s="755"/>
      <c r="J64" s="1997"/>
      <c r="K64" s="1998"/>
      <c r="L64" s="1998"/>
      <c r="M64" s="1998"/>
      <c r="N64" s="1998"/>
      <c r="O64" s="1998"/>
      <c r="P64" s="1998"/>
      <c r="Q64" s="1998"/>
      <c r="R64" s="1998"/>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97"/>
      <c r="K65" s="1998"/>
      <c r="L65" s="1998"/>
      <c r="M65" s="1998"/>
      <c r="N65" s="1998"/>
      <c r="O65" s="1998"/>
      <c r="P65" s="1998"/>
      <c r="Q65" s="1998"/>
      <c r="R65" s="1998"/>
      <c r="U65" s="947">
        <f>IF(J67="Non-rural project, Census Tract is Highest Resource (20 percentage points)",AC56,0)</f>
        <v>0</v>
      </c>
    </row>
    <row r="66" spans="1:22" ht="15" customHeight="1" thickBot="1">
      <c r="B66" s="525" t="s">
        <v>1677</v>
      </c>
      <c r="C66" s="635">
        <f>Application!AG438-Application!AG439</f>
        <v>50</v>
      </c>
      <c r="D66" s="785"/>
      <c r="E66" s="525" t="s">
        <v>1844</v>
      </c>
      <c r="F66" s="785"/>
      <c r="G66" s="652"/>
      <c r="H66" s="526"/>
      <c r="I66" s="756"/>
      <c r="J66" s="1997"/>
      <c r="K66" s="1998"/>
      <c r="L66" s="1998"/>
      <c r="M66" s="1998"/>
      <c r="N66" s="1998"/>
      <c r="O66" s="1998"/>
      <c r="P66" s="1998"/>
      <c r="Q66" s="1998"/>
      <c r="R66" s="1998"/>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50</v>
      </c>
      <c r="H67" s="526"/>
      <c r="I67" s="756"/>
      <c r="J67" s="1994" t="s">
        <v>124</v>
      </c>
      <c r="K67" s="1991"/>
      <c r="L67" s="1991"/>
      <c r="M67" s="1991"/>
      <c r="N67" s="1991"/>
      <c r="O67" s="1991"/>
      <c r="P67" s="1991"/>
      <c r="Q67" s="1991"/>
      <c r="R67" s="1991"/>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77">
        <f>SUM(U62:U68)</f>
        <v>0</v>
      </c>
    </row>
    <row r="70" spans="1:22" ht="15" customHeight="1" thickBot="1">
      <c r="B70" s="505" t="s">
        <v>1606</v>
      </c>
      <c r="C70" s="505"/>
      <c r="D70" s="505"/>
      <c r="E70" s="505"/>
      <c r="F70" s="505"/>
      <c r="G70" s="505"/>
      <c r="U70" s="1978"/>
      <c r="V70" s="370" t="s">
        <v>1789</v>
      </c>
    </row>
    <row r="71" spans="1:22" ht="15" customHeight="1">
      <c r="B71" s="1985" t="s">
        <v>1610</v>
      </c>
      <c r="C71" s="1985"/>
      <c r="D71" s="1985"/>
      <c r="E71" s="505"/>
      <c r="F71" s="505"/>
      <c r="G71" s="515">
        <f>G53*(1-J58)</f>
        <v>3411400</v>
      </c>
      <c r="J71" s="527"/>
      <c r="K71" s="684" t="s">
        <v>1612</v>
      </c>
      <c r="L71" s="684"/>
      <c r="M71" s="684"/>
      <c r="N71" s="684"/>
      <c r="O71" s="684"/>
      <c r="Q71" s="1967">
        <f>'Basis &amp; Credits'!T23+'Basis &amp; Credits'!Y23+'Basis &amp; Credits'!AD23+'Basis &amp; Credits'!AI23</f>
        <v>20760989</v>
      </c>
      <c r="R71" s="1967"/>
    </row>
    <row r="72" spans="1:22" ht="15" customHeight="1">
      <c r="B72" s="1999" t="s">
        <v>1611</v>
      </c>
      <c r="C72" s="1999"/>
      <c r="D72" s="1999"/>
      <c r="E72" s="505"/>
      <c r="F72" s="505"/>
      <c r="G72" s="515">
        <f>G71*C67</f>
        <v>3411400</v>
      </c>
      <c r="J72" s="527"/>
      <c r="K72" s="647"/>
      <c r="L72" s="647"/>
      <c r="M72" s="647"/>
      <c r="N72" s="647"/>
      <c r="O72" s="647"/>
      <c r="Q72" s="1993"/>
      <c r="R72" s="1993"/>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2000">
        <f>$G$72</f>
        <v>3411400</v>
      </c>
      <c r="C75" s="2001"/>
      <c r="D75" s="2001"/>
      <c r="E75" s="2001"/>
      <c r="F75" s="2001"/>
      <c r="G75" s="2001"/>
      <c r="H75" s="528"/>
      <c r="I75" s="1973" t="s">
        <v>139</v>
      </c>
      <c r="J75" s="1974" t="s">
        <v>992</v>
      </c>
      <c r="K75" s="1973">
        <v>1</v>
      </c>
      <c r="M75" s="392"/>
      <c r="N75" s="507"/>
      <c r="O75" s="654">
        <f>$Q$71</f>
        <v>20760989</v>
      </c>
      <c r="P75" s="1974" t="s">
        <v>1929</v>
      </c>
      <c r="Q75" s="2002" t="s">
        <v>138</v>
      </c>
      <c r="R75" s="2005">
        <f>((B75/B76)+((1-(O75/O76))/2))+U69</f>
        <v>0.27010300558616718</v>
      </c>
    </row>
    <row r="76" spans="1:22" ht="15" customHeight="1" thickBot="1">
      <c r="B76" s="2003">
        <f>'Sources and Uses Budget'!$C$104+$Q$46-($E$50+$E$51)*(1-$J$58)</f>
        <v>30313987</v>
      </c>
      <c r="C76" s="2004"/>
      <c r="D76" s="2004"/>
      <c r="E76" s="2004"/>
      <c r="F76" s="2004"/>
      <c r="G76" s="2003"/>
      <c r="I76" s="1973"/>
      <c r="J76" s="1974"/>
      <c r="K76" s="1973"/>
      <c r="M76" s="645"/>
      <c r="O76" s="653">
        <f>B76</f>
        <v>30313987</v>
      </c>
      <c r="P76" s="1974"/>
      <c r="Q76" s="2002"/>
      <c r="R76" s="2006"/>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64"/>
      <c r="R84" s="1964"/>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64"/>
      <c r="R89" s="1964"/>
    </row>
    <row r="90" spans="2:18" ht="15" customHeight="1">
      <c r="B90" s="494" t="s">
        <v>615</v>
      </c>
      <c r="C90" s="495"/>
      <c r="D90" s="496"/>
      <c r="E90" s="496"/>
      <c r="F90" s="537"/>
      <c r="G90" s="381">
        <f>MAX(($E90-$D90)*$C90*12,0)</f>
        <v>0</v>
      </c>
      <c r="I90" s="516"/>
      <c r="K90" s="753" t="s">
        <v>1621</v>
      </c>
      <c r="L90" s="681"/>
      <c r="M90" s="681"/>
      <c r="N90" s="681"/>
      <c r="O90" s="681"/>
      <c r="P90" s="681"/>
      <c r="Q90" s="2007"/>
      <c r="R90" s="2007"/>
    </row>
    <row r="91" spans="2:18" ht="15" customHeight="1">
      <c r="B91" s="494" t="s">
        <v>615</v>
      </c>
      <c r="C91" s="495"/>
      <c r="D91" s="496"/>
      <c r="E91" s="496"/>
      <c r="F91" s="537"/>
      <c r="G91" s="381">
        <f t="shared" ref="G91:G97" si="0">MAX(($E91-$D91)*$C91*12,0)</f>
        <v>0</v>
      </c>
      <c r="I91" s="516"/>
      <c r="K91" s="753" t="s">
        <v>1624</v>
      </c>
      <c r="L91" s="681"/>
      <c r="M91" s="681"/>
      <c r="N91" s="681"/>
      <c r="O91" s="681"/>
      <c r="P91" s="681"/>
      <c r="Q91" s="1968">
        <f>IFERROR(Q89/Q90,0)</f>
        <v>0</v>
      </c>
      <c r="R91" s="1968"/>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67">
        <f>MAX(Q84,Q91)</f>
        <v>0</v>
      </c>
      <c r="R93" s="1967"/>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2" workbookViewId="0">
      <selection activeCell="V70" sqref="V70"/>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849768</v>
      </c>
      <c r="F4" s="381"/>
      <c r="G4" s="381">
        <f>E4*$C$4</f>
        <v>871012.2</v>
      </c>
      <c r="H4" s="381"/>
      <c r="I4" s="381">
        <f>G4*$C$4</f>
        <v>892787.50499999989</v>
      </c>
      <c r="J4" s="381"/>
      <c r="K4" s="381">
        <f>I4*$C$4</f>
        <v>915107.19262499979</v>
      </c>
      <c r="L4" s="381"/>
      <c r="M4" s="381">
        <f>K4*$C$4</f>
        <v>937984.87244062475</v>
      </c>
      <c r="N4" s="381"/>
      <c r="O4" s="381">
        <f>M4*$C$4</f>
        <v>961434.49425164028</v>
      </c>
      <c r="P4" s="381"/>
      <c r="Q4" s="381">
        <f>O4*$C$4</f>
        <v>985470.3566079312</v>
      </c>
      <c r="R4" s="381"/>
      <c r="S4" s="381">
        <f>Q4*$C$4</f>
        <v>1010107.1155231294</v>
      </c>
      <c r="T4" s="381"/>
      <c r="U4" s="381">
        <f>S4*$C$4</f>
        <v>1035359.7934112075</v>
      </c>
      <c r="V4" s="381"/>
      <c r="W4" s="381">
        <f>U4*$C$4</f>
        <v>1061243.7882464875</v>
      </c>
      <c r="X4" s="381"/>
      <c r="Y4" s="381">
        <f>W4*$C$4</f>
        <v>1087774.8829526496</v>
      </c>
      <c r="Z4" s="381"/>
      <c r="AA4" s="381">
        <f>Y4*$C$4</f>
        <v>1114969.2550264657</v>
      </c>
      <c r="AB4" s="381"/>
      <c r="AC4" s="381">
        <f>AA4*$C$4</f>
        <v>1142843.4864021272</v>
      </c>
      <c r="AD4" s="381"/>
      <c r="AE4" s="381">
        <f>AC4*$C$4</f>
        <v>1171414.5735621802</v>
      </c>
      <c r="AF4" s="381"/>
      <c r="AG4" s="381">
        <f>AE4*$C$4</f>
        <v>1200699.9379012345</v>
      </c>
      <c r="AH4" s="381"/>
    </row>
    <row r="5" spans="1:34" ht="14.25">
      <c r="A5" s="373"/>
      <c r="B5" s="373" t="s">
        <v>988</v>
      </c>
      <c r="C5" s="405">
        <f>IF(Application!$D$214="Special Needs",(((0.1*Application!$V$215)+(0.05*(1-Application!$V$215)))),0.05)</f>
        <v>0.05</v>
      </c>
      <c r="D5" s="373"/>
      <c r="E5" s="383">
        <f>-E4*$C$5</f>
        <v>-42488.4</v>
      </c>
      <c r="F5" s="383"/>
      <c r="G5" s="383">
        <f>-G4*$C$5</f>
        <v>-43550.61</v>
      </c>
      <c r="H5" s="383"/>
      <c r="I5" s="383">
        <f>-I4*$C$5</f>
        <v>-44639.375249999997</v>
      </c>
      <c r="J5" s="383"/>
      <c r="K5" s="383">
        <f>-K4*$C$5</f>
        <v>-45755.359631249994</v>
      </c>
      <c r="L5" s="383"/>
      <c r="M5" s="383">
        <f>-M4*$C$5</f>
        <v>-46899.243622031237</v>
      </c>
      <c r="N5" s="383"/>
      <c r="O5" s="383">
        <f>-O4*$C$5</f>
        <v>-48071.724712582014</v>
      </c>
      <c r="P5" s="383"/>
      <c r="Q5" s="383">
        <f>-Q4*$C$5</f>
        <v>-49273.517830396566</v>
      </c>
      <c r="R5" s="383"/>
      <c r="S5" s="383">
        <f>-S4*$C$5</f>
        <v>-50505.355776156473</v>
      </c>
      <c r="T5" s="383"/>
      <c r="U5" s="383">
        <f>-U4*$C$5</f>
        <v>-51767.989670560375</v>
      </c>
      <c r="V5" s="383"/>
      <c r="W5" s="383">
        <f>-W4*$C$5</f>
        <v>-53062.189412324376</v>
      </c>
      <c r="X5" s="383"/>
      <c r="Y5" s="383">
        <f>-Y4*$C$5</f>
        <v>-54388.744147632482</v>
      </c>
      <c r="Z5" s="383"/>
      <c r="AA5" s="383">
        <f>-AA4*$C$5</f>
        <v>-55748.462751323292</v>
      </c>
      <c r="AB5" s="383"/>
      <c r="AC5" s="383">
        <f>-AC4*$C$5</f>
        <v>-57142.174320106365</v>
      </c>
      <c r="AD5" s="383"/>
      <c r="AE5" s="383">
        <f>-AE4*$C$5</f>
        <v>-58570.728678109008</v>
      </c>
      <c r="AF5" s="383"/>
      <c r="AG5" s="383">
        <f>-AG4*$C$5</f>
        <v>-60034.996895061726</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25">
      <c r="A9" s="373"/>
      <c r="B9" s="373" t="s">
        <v>988</v>
      </c>
      <c r="C9" s="405">
        <f>IF(Application!$D$214="Special Needs",(((0.1*Application!$V$215)+(0.05*(1-Application!$V$215)))),0.05)</f>
        <v>0.05</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25">
      <c r="A10" s="931" t="s">
        <v>2286</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807279.6</v>
      </c>
      <c r="F11" s="385"/>
      <c r="G11" s="385">
        <f>SUM(G4:G10)</f>
        <v>827461.59</v>
      </c>
      <c r="H11" s="385"/>
      <c r="I11" s="385">
        <f>SUM(I4:I10)</f>
        <v>848148.12974999985</v>
      </c>
      <c r="J11" s="385"/>
      <c r="K11" s="385">
        <f>SUM(K4:K10)</f>
        <v>869351.83299374976</v>
      </c>
      <c r="L11" s="385"/>
      <c r="M11" s="385">
        <f>SUM(M4:M10)</f>
        <v>891085.62881859345</v>
      </c>
      <c r="N11" s="385"/>
      <c r="O11" s="385">
        <f>SUM(O4:O10)</f>
        <v>913362.76953905821</v>
      </c>
      <c r="P11" s="385"/>
      <c r="Q11" s="385">
        <f>SUM(Q4:Q10)</f>
        <v>936196.83877753466</v>
      </c>
      <c r="R11" s="385"/>
      <c r="S11" s="385">
        <f>SUM(S4:S10)</f>
        <v>959601.75974697294</v>
      </c>
      <c r="T11" s="385"/>
      <c r="U11" s="385">
        <f>SUM(U4:U10)</f>
        <v>983591.80374064716</v>
      </c>
      <c r="V11" s="385"/>
      <c r="W11" s="385">
        <f>SUM(W4:W10)</f>
        <v>1008181.5988341632</v>
      </c>
      <c r="X11" s="385"/>
      <c r="Y11" s="385">
        <f>SUM(Y4:Y10)</f>
        <v>1033386.1388050171</v>
      </c>
      <c r="Z11" s="385"/>
      <c r="AA11" s="385">
        <f>SUM(AA4:AA10)</f>
        <v>1059220.7922751424</v>
      </c>
      <c r="AB11" s="385"/>
      <c r="AC11" s="385">
        <f>SUM(AC4:AC10)</f>
        <v>1085701.3120820208</v>
      </c>
      <c r="AD11" s="385"/>
      <c r="AE11" s="385">
        <f>SUM(AE4:AE10)</f>
        <v>1112843.844884071</v>
      </c>
      <c r="AF11" s="385"/>
      <c r="AG11" s="385">
        <f>SUM(AG4:AG10)</f>
        <v>1140664.9410061727</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25500</v>
      </c>
      <c r="F15" s="381"/>
      <c r="G15" s="381">
        <f t="shared" ref="G15:G21" si="0">E15*$C$14</f>
        <v>26392.499999999996</v>
      </c>
      <c r="H15" s="381"/>
      <c r="I15" s="381">
        <f t="shared" ref="I15:I21" si="1">G15*$C$14</f>
        <v>27316.237499999996</v>
      </c>
      <c r="J15" s="381"/>
      <c r="K15" s="381">
        <f t="shared" ref="K15:K21" si="2">I15*$C$14</f>
        <v>28272.305812499992</v>
      </c>
      <c r="L15" s="381"/>
      <c r="M15" s="381">
        <f t="shared" ref="M15:M21" si="3">K15*$C$14</f>
        <v>29261.836515937488</v>
      </c>
      <c r="N15" s="381"/>
      <c r="O15" s="381">
        <f t="shared" ref="O15:O21" si="4">M15*$C$14</f>
        <v>30286.000793995299</v>
      </c>
      <c r="P15" s="381"/>
      <c r="Q15" s="381">
        <f t="shared" ref="Q15:Q21" si="5">O15*$C$14</f>
        <v>31346.010821785134</v>
      </c>
      <c r="R15" s="381"/>
      <c r="S15" s="381">
        <f t="shared" ref="S15:S21" si="6">Q15*$C$14</f>
        <v>32443.121200547612</v>
      </c>
      <c r="T15" s="381"/>
      <c r="U15" s="381">
        <f t="shared" ref="U15:U21" si="7">S15*$C$14</f>
        <v>33578.630442566777</v>
      </c>
      <c r="V15" s="381"/>
      <c r="W15" s="381">
        <f t="shared" ref="W15:W21" si="8">U15*$C$14</f>
        <v>34753.882508056609</v>
      </c>
      <c r="X15" s="381"/>
      <c r="Y15" s="381">
        <f t="shared" ref="Y15:Y21" si="9">W15*$C$14</f>
        <v>35970.26839583859</v>
      </c>
      <c r="Z15" s="381"/>
      <c r="AA15" s="381">
        <f t="shared" ref="AA15:AA21" si="10">Y15*$C$14</f>
        <v>37229.227789692937</v>
      </c>
      <c r="AB15" s="381"/>
      <c r="AC15" s="381">
        <f t="shared" ref="AC15:AC21" si="11">AA15*$C$14</f>
        <v>38532.250762332187</v>
      </c>
      <c r="AD15" s="381"/>
      <c r="AE15" s="381">
        <f t="shared" ref="AE15:AE21" si="12">AC15*$C$14</f>
        <v>39880.879539013811</v>
      </c>
      <c r="AF15" s="381"/>
      <c r="AG15" s="381">
        <f t="shared" ref="AG15:AG21" si="13">AE15*$C$14</f>
        <v>41276.710322879291</v>
      </c>
      <c r="AH15" s="381"/>
    </row>
    <row r="16" spans="1:34" ht="14.25">
      <c r="A16" s="373" t="s">
        <v>468</v>
      </c>
      <c r="B16" s="373"/>
      <c r="C16" s="395"/>
      <c r="D16" s="373"/>
      <c r="E16" s="384">
        <f>Application!W836</f>
        <v>51189</v>
      </c>
      <c r="F16" s="384"/>
      <c r="G16" s="384">
        <f t="shared" si="0"/>
        <v>52980.614999999998</v>
      </c>
      <c r="H16" s="384"/>
      <c r="I16" s="384">
        <f t="shared" si="1"/>
        <v>54834.93652499999</v>
      </c>
      <c r="J16" s="384"/>
      <c r="K16" s="384">
        <f t="shared" si="2"/>
        <v>56754.159303374989</v>
      </c>
      <c r="L16" s="384"/>
      <c r="M16" s="384">
        <f t="shared" si="3"/>
        <v>58740.554878993105</v>
      </c>
      <c r="N16" s="384"/>
      <c r="O16" s="384">
        <f t="shared" si="4"/>
        <v>60796.474299757858</v>
      </c>
      <c r="P16" s="384"/>
      <c r="Q16" s="384">
        <f t="shared" si="5"/>
        <v>62924.350900249381</v>
      </c>
      <c r="R16" s="384"/>
      <c r="S16" s="384">
        <f t="shared" si="6"/>
        <v>65126.703181758101</v>
      </c>
      <c r="T16" s="384"/>
      <c r="U16" s="384">
        <f t="shared" si="7"/>
        <v>67406.137793119633</v>
      </c>
      <c r="V16" s="384"/>
      <c r="W16" s="384">
        <f t="shared" si="8"/>
        <v>69765.352615878815</v>
      </c>
      <c r="X16" s="384"/>
      <c r="Y16" s="384">
        <f t="shared" si="9"/>
        <v>72207.139957434571</v>
      </c>
      <c r="Z16" s="384"/>
      <c r="AA16" s="384">
        <f t="shared" si="10"/>
        <v>74734.38985594477</v>
      </c>
      <c r="AB16" s="384"/>
      <c r="AC16" s="384">
        <f t="shared" si="11"/>
        <v>77350.093500902833</v>
      </c>
      <c r="AD16" s="384"/>
      <c r="AE16" s="384">
        <f t="shared" si="12"/>
        <v>80057.34677343443</v>
      </c>
      <c r="AF16" s="384"/>
      <c r="AG16" s="384">
        <f t="shared" si="13"/>
        <v>82859.353910504622</v>
      </c>
      <c r="AH16" s="373"/>
    </row>
    <row r="17" spans="1:34" ht="14.25">
      <c r="A17" s="373" t="s">
        <v>734</v>
      </c>
      <c r="B17" s="373"/>
      <c r="C17" s="395"/>
      <c r="D17" s="373"/>
      <c r="E17" s="384">
        <f>Application!W842</f>
        <v>50500</v>
      </c>
      <c r="F17" s="384"/>
      <c r="G17" s="384">
        <f t="shared" si="0"/>
        <v>52267.499999999993</v>
      </c>
      <c r="H17" s="384"/>
      <c r="I17" s="384">
        <f t="shared" si="1"/>
        <v>54096.862499999988</v>
      </c>
      <c r="J17" s="384"/>
      <c r="K17" s="384">
        <f t="shared" si="2"/>
        <v>55990.252687499982</v>
      </c>
      <c r="L17" s="384"/>
      <c r="M17" s="384">
        <f t="shared" si="3"/>
        <v>57949.91153156248</v>
      </c>
      <c r="N17" s="384"/>
      <c r="O17" s="384">
        <f t="shared" si="4"/>
        <v>59978.158435167163</v>
      </c>
      <c r="P17" s="384"/>
      <c r="Q17" s="384">
        <f t="shared" si="5"/>
        <v>62077.39398039801</v>
      </c>
      <c r="R17" s="384"/>
      <c r="S17" s="384">
        <f t="shared" si="6"/>
        <v>64250.102769711935</v>
      </c>
      <c r="T17" s="384"/>
      <c r="U17" s="384">
        <f t="shared" si="7"/>
        <v>66498.856366651846</v>
      </c>
      <c r="V17" s="384"/>
      <c r="W17" s="384">
        <f t="shared" si="8"/>
        <v>68826.316339484649</v>
      </c>
      <c r="X17" s="384"/>
      <c r="Y17" s="384">
        <f t="shared" si="9"/>
        <v>71235.237411366601</v>
      </c>
      <c r="Z17" s="384"/>
      <c r="AA17" s="384">
        <f t="shared" si="10"/>
        <v>73728.470720764424</v>
      </c>
      <c r="AB17" s="384"/>
      <c r="AC17" s="384">
        <f t="shared" si="11"/>
        <v>76308.967195991179</v>
      </c>
      <c r="AD17" s="384"/>
      <c r="AE17" s="384">
        <f t="shared" si="12"/>
        <v>78979.781047850862</v>
      </c>
      <c r="AF17" s="384"/>
      <c r="AG17" s="384">
        <f t="shared" si="13"/>
        <v>81744.073384525633</v>
      </c>
      <c r="AH17" s="373"/>
    </row>
    <row r="18" spans="1:34" ht="14.25">
      <c r="A18" s="373" t="s">
        <v>1079</v>
      </c>
      <c r="B18" s="373"/>
      <c r="C18" s="395"/>
      <c r="D18" s="373"/>
      <c r="E18" s="384">
        <f>Application!W849</f>
        <v>34032</v>
      </c>
      <c r="F18" s="384"/>
      <c r="G18" s="384">
        <f t="shared" si="0"/>
        <v>35223.119999999995</v>
      </c>
      <c r="H18" s="384"/>
      <c r="I18" s="384">
        <f t="shared" si="1"/>
        <v>36455.929199999991</v>
      </c>
      <c r="J18" s="384"/>
      <c r="K18" s="384">
        <f t="shared" si="2"/>
        <v>37731.886721999988</v>
      </c>
      <c r="L18" s="384"/>
      <c r="M18" s="384">
        <f t="shared" si="3"/>
        <v>39052.502757269984</v>
      </c>
      <c r="N18" s="384"/>
      <c r="O18" s="384">
        <f t="shared" si="4"/>
        <v>40419.340353774431</v>
      </c>
      <c r="P18" s="384"/>
      <c r="Q18" s="384">
        <f t="shared" si="5"/>
        <v>41834.01726615653</v>
      </c>
      <c r="R18" s="384"/>
      <c r="S18" s="384">
        <f t="shared" si="6"/>
        <v>43298.207870472004</v>
      </c>
      <c r="T18" s="384"/>
      <c r="U18" s="384">
        <f t="shared" si="7"/>
        <v>44813.645145938521</v>
      </c>
      <c r="V18" s="384"/>
      <c r="W18" s="384">
        <f t="shared" si="8"/>
        <v>46382.122726046364</v>
      </c>
      <c r="X18" s="384"/>
      <c r="Y18" s="384">
        <f t="shared" si="9"/>
        <v>48005.497021457981</v>
      </c>
      <c r="Z18" s="384"/>
      <c r="AA18" s="384">
        <f t="shared" si="10"/>
        <v>49685.689417209003</v>
      </c>
      <c r="AB18" s="384"/>
      <c r="AC18" s="384">
        <f t="shared" si="11"/>
        <v>51424.688546811318</v>
      </c>
      <c r="AD18" s="384"/>
      <c r="AE18" s="384">
        <f t="shared" si="12"/>
        <v>53224.552645949712</v>
      </c>
      <c r="AF18" s="384"/>
      <c r="AG18" s="384">
        <f t="shared" si="13"/>
        <v>55087.411988557949</v>
      </c>
    </row>
    <row r="19" spans="1:34" ht="14.25">
      <c r="A19" s="373" t="s">
        <v>931</v>
      </c>
      <c r="B19" s="373"/>
      <c r="C19" s="395"/>
      <c r="D19" s="373"/>
      <c r="E19" s="384">
        <f>Application!W850</f>
        <v>75000</v>
      </c>
      <c r="F19" s="384"/>
      <c r="G19" s="384">
        <f t="shared" si="0"/>
        <v>77625</v>
      </c>
      <c r="H19" s="384"/>
      <c r="I19" s="384">
        <f t="shared" si="1"/>
        <v>80341.875</v>
      </c>
      <c r="J19" s="384"/>
      <c r="K19" s="384">
        <f t="shared" si="2"/>
        <v>83153.840624999997</v>
      </c>
      <c r="L19" s="384"/>
      <c r="M19" s="384">
        <f t="shared" si="3"/>
        <v>86064.225046874984</v>
      </c>
      <c r="N19" s="384"/>
      <c r="O19" s="384">
        <f t="shared" si="4"/>
        <v>89076.472923515597</v>
      </c>
      <c r="P19" s="384"/>
      <c r="Q19" s="384">
        <f t="shared" si="5"/>
        <v>92194.14947583864</v>
      </c>
      <c r="R19" s="384"/>
      <c r="S19" s="384">
        <f t="shared" si="6"/>
        <v>95420.944707492978</v>
      </c>
      <c r="T19" s="384"/>
      <c r="U19" s="384">
        <f t="shared" si="7"/>
        <v>98760.677772255221</v>
      </c>
      <c r="V19" s="384"/>
      <c r="W19" s="384">
        <f t="shared" si="8"/>
        <v>102217.30149428414</v>
      </c>
      <c r="X19" s="384"/>
      <c r="Y19" s="384">
        <f t="shared" si="9"/>
        <v>105794.90704658408</v>
      </c>
      <c r="Z19" s="384"/>
      <c r="AA19" s="384">
        <f t="shared" si="10"/>
        <v>109497.72879321451</v>
      </c>
      <c r="AB19" s="384"/>
      <c r="AC19" s="384">
        <f t="shared" si="11"/>
        <v>113330.14930097701</v>
      </c>
      <c r="AD19" s="384"/>
      <c r="AE19" s="384">
        <f t="shared" si="12"/>
        <v>117296.7045265112</v>
      </c>
      <c r="AF19" s="384"/>
      <c r="AG19" s="384">
        <f t="shared" si="13"/>
        <v>121402.08918493908</v>
      </c>
    </row>
    <row r="20" spans="1:34" ht="14.25">
      <c r="A20" s="373" t="s">
        <v>55</v>
      </c>
      <c r="B20" s="373"/>
      <c r="C20" s="395"/>
      <c r="D20" s="373"/>
      <c r="E20" s="384">
        <f>Application!W859</f>
        <v>117987</v>
      </c>
      <c r="F20" s="384"/>
      <c r="G20" s="384">
        <f t="shared" si="0"/>
        <v>122116.54499999998</v>
      </c>
      <c r="H20" s="384"/>
      <c r="I20" s="384">
        <f t="shared" si="1"/>
        <v>126390.62407499997</v>
      </c>
      <c r="J20" s="384"/>
      <c r="K20" s="384">
        <f t="shared" si="2"/>
        <v>130814.29591762496</v>
      </c>
      <c r="L20" s="384"/>
      <c r="M20" s="384">
        <f t="shared" si="3"/>
        <v>135392.79627474182</v>
      </c>
      <c r="N20" s="384"/>
      <c r="O20" s="384">
        <f t="shared" si="4"/>
        <v>140131.54414435779</v>
      </c>
      <c r="P20" s="384"/>
      <c r="Q20" s="384">
        <f t="shared" si="5"/>
        <v>145036.14818941031</v>
      </c>
      <c r="R20" s="384"/>
      <c r="S20" s="384">
        <f t="shared" si="6"/>
        <v>150112.41337603965</v>
      </c>
      <c r="T20" s="384"/>
      <c r="U20" s="384">
        <f t="shared" si="7"/>
        <v>155366.34784420102</v>
      </c>
      <c r="V20" s="384"/>
      <c r="W20" s="384">
        <f t="shared" si="8"/>
        <v>160804.17001874806</v>
      </c>
      <c r="X20" s="384"/>
      <c r="Y20" s="384">
        <f t="shared" si="9"/>
        <v>166432.31596940424</v>
      </c>
      <c r="Z20" s="384"/>
      <c r="AA20" s="384">
        <f t="shared" si="10"/>
        <v>172257.44702833338</v>
      </c>
      <c r="AB20" s="384"/>
      <c r="AC20" s="384">
        <f t="shared" si="11"/>
        <v>178286.45767432504</v>
      </c>
      <c r="AD20" s="384"/>
      <c r="AE20" s="384">
        <f t="shared" si="12"/>
        <v>184526.48369292641</v>
      </c>
      <c r="AF20" s="384"/>
      <c r="AG20" s="384">
        <f t="shared" si="13"/>
        <v>190984.91062217881</v>
      </c>
    </row>
    <row r="21" spans="1:34" ht="14.25">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354208</v>
      </c>
      <c r="F22" s="385"/>
      <c r="G22" s="385">
        <f>SUM(G15:G21)</f>
        <v>366605.27999999997</v>
      </c>
      <c r="H22" s="385"/>
      <c r="I22" s="385">
        <f>SUM(I15:I21)</f>
        <v>379436.46479999996</v>
      </c>
      <c r="J22" s="385"/>
      <c r="K22" s="385">
        <f>SUM(K15:K21)</f>
        <v>392716.74106799992</v>
      </c>
      <c r="L22" s="385"/>
      <c r="M22" s="385">
        <f>SUM(M15:M21)</f>
        <v>406461.82700537989</v>
      </c>
      <c r="N22" s="385"/>
      <c r="O22" s="385">
        <f>SUM(O15:O21)</f>
        <v>420687.99095056811</v>
      </c>
      <c r="P22" s="385"/>
      <c r="Q22" s="385">
        <f>SUM(Q15:Q21)</f>
        <v>435412.07063383807</v>
      </c>
      <c r="R22" s="385"/>
      <c r="S22" s="385">
        <f>SUM(S15:S21)</f>
        <v>450651.4931060223</v>
      </c>
      <c r="T22" s="385"/>
      <c r="U22" s="385">
        <f>SUM(U15:U21)</f>
        <v>466424.29536473303</v>
      </c>
      <c r="V22" s="385"/>
      <c r="W22" s="385">
        <f>SUM(W15:W21)</f>
        <v>482749.14570249862</v>
      </c>
      <c r="X22" s="385"/>
      <c r="Y22" s="385">
        <f>SUM(Y15:Y21)</f>
        <v>499645.36580208607</v>
      </c>
      <c r="Z22" s="385"/>
      <c r="AA22" s="385">
        <f>SUM(AA15:AA21)</f>
        <v>517132.95360515901</v>
      </c>
      <c r="AB22" s="385"/>
      <c r="AC22" s="385">
        <f>SUM(AC15:AC21)</f>
        <v>535232.60698133963</v>
      </c>
      <c r="AD22" s="385"/>
      <c r="AE22" s="385">
        <f>SUM(AE15:AE21)</f>
        <v>553965.74822568637</v>
      </c>
      <c r="AF22" s="385"/>
      <c r="AG22" s="385">
        <f>SUM(AG15:AG21)</f>
        <v>573354.54941358534</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22800</v>
      </c>
      <c r="F27" s="384"/>
      <c r="G27" s="384">
        <f>E27*$C$27</f>
        <v>23597.999999999996</v>
      </c>
      <c r="H27" s="384"/>
      <c r="I27" s="384">
        <f>G27*$C$27</f>
        <v>24423.929999999993</v>
      </c>
      <c r="J27" s="384"/>
      <c r="K27" s="384">
        <f>I27*$C$27</f>
        <v>25278.76754999999</v>
      </c>
      <c r="L27" s="384"/>
      <c r="M27" s="384">
        <f>K27*$C$27</f>
        <v>26163.524414249987</v>
      </c>
      <c r="N27" s="384"/>
      <c r="O27" s="384">
        <f>M27*$C$27</f>
        <v>27079.247768748734</v>
      </c>
      <c r="P27" s="384"/>
      <c r="Q27" s="384">
        <f>O27*$C$27</f>
        <v>28027.021440654938</v>
      </c>
      <c r="R27" s="384"/>
      <c r="S27" s="384">
        <f>Q27*$C$27</f>
        <v>29007.96719107786</v>
      </c>
      <c r="T27" s="384"/>
      <c r="U27" s="384">
        <f>S27*$C$27</f>
        <v>30023.246042765582</v>
      </c>
      <c r="V27" s="384"/>
      <c r="W27" s="384">
        <f>U27*$C$27</f>
        <v>31074.059654262375</v>
      </c>
      <c r="X27" s="384"/>
      <c r="Y27" s="384">
        <f>W27*$C$27</f>
        <v>32161.651742161557</v>
      </c>
      <c r="Z27" s="384"/>
      <c r="AA27" s="384">
        <f>Y27*$C$27</f>
        <v>33287.309553137209</v>
      </c>
      <c r="AB27" s="384"/>
      <c r="AC27" s="384">
        <f>AA27*$C$27</f>
        <v>34452.365387497011</v>
      </c>
      <c r="AD27" s="384"/>
      <c r="AE27" s="384">
        <f>AC27*$C$27</f>
        <v>35658.198176059406</v>
      </c>
      <c r="AF27" s="384"/>
      <c r="AG27" s="384">
        <f>AE27*$C$27</f>
        <v>36906.235112221482</v>
      </c>
    </row>
    <row r="28" spans="1:34" ht="14.25">
      <c r="A28" s="596" t="s">
        <v>1082</v>
      </c>
      <c r="B28" s="373"/>
      <c r="C28" s="404"/>
      <c r="D28" s="373"/>
      <c r="E28" s="384">
        <f>Application!AC876</f>
        <v>25000</v>
      </c>
      <c r="F28" s="384"/>
      <c r="G28" s="384">
        <f>$E$28</f>
        <v>25000</v>
      </c>
      <c r="H28" s="384"/>
      <c r="I28" s="384">
        <f>$E$28</f>
        <v>25000</v>
      </c>
      <c r="J28" s="384"/>
      <c r="K28" s="384">
        <f>$E$28</f>
        <v>25000</v>
      </c>
      <c r="L28" s="384"/>
      <c r="M28" s="384">
        <f>$E$28</f>
        <v>25000</v>
      </c>
      <c r="N28" s="384"/>
      <c r="O28" s="384">
        <f>$E$28</f>
        <v>25000</v>
      </c>
      <c r="P28" s="384"/>
      <c r="Q28" s="384">
        <f>$E$28</f>
        <v>25000</v>
      </c>
      <c r="R28" s="384"/>
      <c r="S28" s="384">
        <f>$E$28</f>
        <v>25000</v>
      </c>
      <c r="T28" s="384"/>
      <c r="U28" s="384">
        <f>$E$28</f>
        <v>25000</v>
      </c>
      <c r="V28" s="384"/>
      <c r="W28" s="384">
        <f>$E$28</f>
        <v>25000</v>
      </c>
      <c r="X28" s="384"/>
      <c r="Y28" s="384">
        <f>$E$28</f>
        <v>25000</v>
      </c>
      <c r="Z28" s="384"/>
      <c r="AA28" s="384">
        <f>$E$28</f>
        <v>25000</v>
      </c>
      <c r="AB28" s="384"/>
      <c r="AC28" s="384">
        <f>$E$28</f>
        <v>25000</v>
      </c>
      <c r="AD28" s="384"/>
      <c r="AE28" s="384">
        <f>$E$28</f>
        <v>25000</v>
      </c>
      <c r="AF28" s="384"/>
      <c r="AG28" s="384">
        <f>$E$28</f>
        <v>25000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402008</v>
      </c>
      <c r="F35" s="385"/>
      <c r="G35" s="385">
        <f>SUM(G22:G33)</f>
        <v>415203.27999999997</v>
      </c>
      <c r="H35" s="385"/>
      <c r="I35" s="385">
        <f>SUM(I22:I33)</f>
        <v>428860.39479999995</v>
      </c>
      <c r="J35" s="385"/>
      <c r="K35" s="385">
        <f>SUM(K22:K33)</f>
        <v>442995.50861799991</v>
      </c>
      <c r="L35" s="385"/>
      <c r="M35" s="385">
        <f>SUM(M22:M33)</f>
        <v>457625.35141962988</v>
      </c>
      <c r="N35" s="385"/>
      <c r="O35" s="385">
        <f>SUM(O22:O33)</f>
        <v>472767.23871931684</v>
      </c>
      <c r="P35" s="385"/>
      <c r="Q35" s="385">
        <f>SUM(Q22:Q33)</f>
        <v>488439.092074493</v>
      </c>
      <c r="R35" s="385"/>
      <c r="S35" s="385">
        <f>SUM(S22:S33)</f>
        <v>504659.46029710019</v>
      </c>
      <c r="T35" s="385"/>
      <c r="U35" s="385">
        <f>SUM(U22:U33)</f>
        <v>521447.54140749859</v>
      </c>
      <c r="V35" s="385"/>
      <c r="W35" s="385">
        <f>SUM(W22:W33)</f>
        <v>538823.205356761</v>
      </c>
      <c r="X35" s="385"/>
      <c r="Y35" s="385">
        <f>SUM(Y22:Y33)</f>
        <v>556807.01754424768</v>
      </c>
      <c r="Z35" s="385"/>
      <c r="AA35" s="385">
        <f>SUM(AA22:AA33)</f>
        <v>575420.26315829623</v>
      </c>
      <c r="AB35" s="385"/>
      <c r="AC35" s="385">
        <f>SUM(AC22:AC33)</f>
        <v>594684.97236883664</v>
      </c>
      <c r="AD35" s="385"/>
      <c r="AE35" s="385">
        <f>SUM(AE22:AE33)</f>
        <v>614623.94640174578</v>
      </c>
      <c r="AF35" s="385"/>
      <c r="AG35" s="385">
        <f>SUM(AG22:AG33)</f>
        <v>635260.78452580678</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405271.6</v>
      </c>
      <c r="F37" s="385"/>
      <c r="G37" s="385">
        <f>G11-G35</f>
        <v>412258.31</v>
      </c>
      <c r="H37" s="385"/>
      <c r="I37" s="385">
        <f>I11-I35</f>
        <v>419287.7349499999</v>
      </c>
      <c r="J37" s="385"/>
      <c r="K37" s="385">
        <f>K11-K35</f>
        <v>426356.32437574986</v>
      </c>
      <c r="L37" s="385"/>
      <c r="M37" s="385">
        <f>M11-M35</f>
        <v>433460.27739896358</v>
      </c>
      <c r="N37" s="385"/>
      <c r="O37" s="385">
        <f>O11-O35</f>
        <v>440595.53081974137</v>
      </c>
      <c r="P37" s="385"/>
      <c r="Q37" s="385">
        <f>Q11-Q35</f>
        <v>447757.74670304166</v>
      </c>
      <c r="R37" s="385"/>
      <c r="S37" s="385">
        <f>S11-S35</f>
        <v>454942.29944987275</v>
      </c>
      <c r="T37" s="385"/>
      <c r="U37" s="385">
        <f>U11-U35</f>
        <v>462144.26233314857</v>
      </c>
      <c r="V37" s="385"/>
      <c r="W37" s="385">
        <f>W11-W35</f>
        <v>469358.39347740216</v>
      </c>
      <c r="X37" s="385"/>
      <c r="Y37" s="385">
        <f>Y11-Y35</f>
        <v>476579.12126076943</v>
      </c>
      <c r="Z37" s="385"/>
      <c r="AA37" s="385">
        <f>AA11-AA35</f>
        <v>483800.52911684616</v>
      </c>
      <c r="AB37" s="385"/>
      <c r="AC37" s="385">
        <f>AC11-AC35</f>
        <v>491016.33971318416</v>
      </c>
      <c r="AD37" s="385"/>
      <c r="AE37" s="385">
        <f>AE11-AE35</f>
        <v>498219.89848232525</v>
      </c>
      <c r="AF37" s="385"/>
      <c r="AG37" s="385">
        <f>AG11-AG35</f>
        <v>505404.1564803659</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 xml:space="preserve">Citi Bank </v>
      </c>
      <c r="B40" s="388"/>
      <c r="C40" s="382"/>
      <c r="D40" s="373"/>
      <c r="E40" s="381">
        <f>Application!AF629</f>
        <v>352410</v>
      </c>
      <c r="F40" s="381"/>
      <c r="G40" s="381">
        <f>$E$40</f>
        <v>352410</v>
      </c>
      <c r="H40" s="381"/>
      <c r="I40" s="381">
        <f>$E$40</f>
        <v>352410</v>
      </c>
      <c r="J40" s="381"/>
      <c r="K40" s="381">
        <f>$E$40</f>
        <v>352410</v>
      </c>
      <c r="L40" s="381"/>
      <c r="M40" s="381">
        <f>$E$40</f>
        <v>352410</v>
      </c>
      <c r="N40" s="381"/>
      <c r="O40" s="381">
        <f>$E$40</f>
        <v>352410</v>
      </c>
      <c r="P40" s="381"/>
      <c r="Q40" s="381">
        <f>$E$40</f>
        <v>352410</v>
      </c>
      <c r="R40" s="381"/>
      <c r="S40" s="381">
        <f>$E$40</f>
        <v>352410</v>
      </c>
      <c r="T40" s="381"/>
      <c r="U40" s="381">
        <f>$E$40</f>
        <v>352410</v>
      </c>
      <c r="V40" s="381"/>
      <c r="W40" s="381">
        <f>$E$40</f>
        <v>352410</v>
      </c>
      <c r="X40" s="381"/>
      <c r="Y40" s="381">
        <f>$E$40</f>
        <v>352410</v>
      </c>
      <c r="Z40" s="381"/>
      <c r="AA40" s="381">
        <f>$E$40</f>
        <v>352410</v>
      </c>
      <c r="AB40" s="381"/>
      <c r="AC40" s="381">
        <f>$E$40</f>
        <v>352410</v>
      </c>
      <c r="AD40" s="381"/>
      <c r="AE40" s="381">
        <f>$E$40</f>
        <v>352410</v>
      </c>
      <c r="AF40" s="381"/>
      <c r="AG40" s="381">
        <f>$E$40</f>
        <v>352410</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352410</v>
      </c>
      <c r="F43" s="385"/>
      <c r="G43" s="385">
        <f>SUM(G40:G42)</f>
        <v>352410</v>
      </c>
      <c r="H43" s="385"/>
      <c r="I43" s="385">
        <f>SUM(I40:I42)</f>
        <v>352410</v>
      </c>
      <c r="J43" s="385"/>
      <c r="K43" s="385">
        <f>SUM(K40:K42)</f>
        <v>352410</v>
      </c>
      <c r="L43" s="385"/>
      <c r="M43" s="385">
        <f>SUM(M40:M42)</f>
        <v>352410</v>
      </c>
      <c r="N43" s="385"/>
      <c r="O43" s="385">
        <f>SUM(O40:O42)</f>
        <v>352410</v>
      </c>
      <c r="P43" s="385"/>
      <c r="Q43" s="385">
        <f>SUM(Q40:Q42)</f>
        <v>352410</v>
      </c>
      <c r="R43" s="385"/>
      <c r="S43" s="385">
        <f>SUM(S40:S42)</f>
        <v>352410</v>
      </c>
      <c r="T43" s="385"/>
      <c r="U43" s="385">
        <f>SUM(U40:U42)</f>
        <v>352410</v>
      </c>
      <c r="V43" s="385"/>
      <c r="W43" s="385">
        <f>SUM(W40:W42)</f>
        <v>352410</v>
      </c>
      <c r="X43" s="385"/>
      <c r="Y43" s="385">
        <f>SUM(Y40:Y42)</f>
        <v>352410</v>
      </c>
      <c r="Z43" s="385"/>
      <c r="AA43" s="385">
        <f>SUM(AA40:AA42)</f>
        <v>352410</v>
      </c>
      <c r="AB43" s="385"/>
      <c r="AC43" s="385">
        <f>SUM(AC40:AC42)</f>
        <v>352410</v>
      </c>
      <c r="AD43" s="385"/>
      <c r="AE43" s="385">
        <f>SUM(AE40:AE42)</f>
        <v>352410</v>
      </c>
      <c r="AF43" s="385"/>
      <c r="AG43" s="385">
        <f>SUM(AG40:AG42)</f>
        <v>352410</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52861.599999999977</v>
      </c>
      <c r="F45" s="385"/>
      <c r="G45" s="385">
        <f>G37-G43</f>
        <v>59848.31</v>
      </c>
      <c r="H45" s="385"/>
      <c r="I45" s="385">
        <f>I37-I43</f>
        <v>66877.734949999896</v>
      </c>
      <c r="J45" s="385"/>
      <c r="K45" s="385">
        <f>K37-K43</f>
        <v>73946.324375749857</v>
      </c>
      <c r="L45" s="385"/>
      <c r="M45" s="385">
        <f>M37-M43</f>
        <v>81050.277398963575</v>
      </c>
      <c r="N45" s="385"/>
      <c r="O45" s="385">
        <f>O37-O43</f>
        <v>88185.530819741369</v>
      </c>
      <c r="P45" s="385"/>
      <c r="Q45" s="385">
        <f>Q37-Q43</f>
        <v>95347.746703041659</v>
      </c>
      <c r="R45" s="385"/>
      <c r="S45" s="385">
        <f>S37-S43</f>
        <v>102532.29944987275</v>
      </c>
      <c r="T45" s="385"/>
      <c r="U45" s="385">
        <f>U37-U43</f>
        <v>109734.26233314857</v>
      </c>
      <c r="V45" s="385"/>
      <c r="W45" s="385">
        <f>W37-W43</f>
        <v>116948.39347740216</v>
      </c>
      <c r="X45" s="385"/>
      <c r="Y45" s="385">
        <f>Y37-Y43</f>
        <v>124169.12126076943</v>
      </c>
      <c r="Z45" s="385"/>
      <c r="AA45" s="385">
        <f>AA37-AA43</f>
        <v>131390.52911684616</v>
      </c>
      <c r="AB45" s="385"/>
      <c r="AC45" s="385">
        <f>AC37-AC43</f>
        <v>138606.33971318416</v>
      </c>
      <c r="AD45" s="385"/>
      <c r="AE45" s="385">
        <f>AE37-AE43</f>
        <v>145809.89848232525</v>
      </c>
      <c r="AF45" s="385"/>
      <c r="AG45" s="385">
        <f>AG37-AG43</f>
        <v>152994.1564803659</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6.2207096525169196E-2</v>
      </c>
      <c r="F47" s="389"/>
      <c r="G47" s="389">
        <f>G45/(G4+G6+G8)</f>
        <v>6.8711218970296861E-2</v>
      </c>
      <c r="H47" s="389"/>
      <c r="I47" s="389">
        <f>I45/(I4+I6+I8)</f>
        <v>7.4908905619148314E-2</v>
      </c>
      <c r="J47" s="389"/>
      <c r="K47" s="389">
        <f>K45/(K4+K6+K8)</f>
        <v>8.080618857735522E-2</v>
      </c>
      <c r="L47" s="389"/>
      <c r="M47" s="389">
        <f>M45/(M4+M6+M8)</f>
        <v>8.6408938758331763E-2</v>
      </c>
      <c r="N47" s="389"/>
      <c r="O47" s="389">
        <f>O45/(O4+O6+O8)</f>
        <v>9.172286967754685E-2</v>
      </c>
      <c r="P47" s="389"/>
      <c r="Q47" s="389">
        <f>Q45/(Q4+Q6+Q8)</f>
        <v>9.6753541152913347E-2</v>
      </c>
      <c r="R47" s="389"/>
      <c r="S47" s="389">
        <f>S45/(S4+S6+S8)</f>
        <v>0.10150636291357258</v>
      </c>
      <c r="T47" s="389"/>
      <c r="U47" s="389">
        <f>U45/(U4+U6+U8)</f>
        <v>0.10598659811929367</v>
      </c>
      <c r="V47" s="389"/>
      <c r="W47" s="389">
        <f>W45/(W4+W6+W8)</f>
        <v>0.11019936679265575</v>
      </c>
      <c r="X47" s="389"/>
      <c r="Y47" s="389">
        <f>Y45/(Y4+Y6+Y8)</f>
        <v>0.11414964916612665</v>
      </c>
      <c r="Z47" s="389"/>
      <c r="AA47" s="389">
        <f>AA45/(AA4+AA6+AA8)</f>
        <v>0.11784228894609956</v>
      </c>
      <c r="AB47" s="389"/>
      <c r="AC47" s="389">
        <f>AC45/(AC4+AC6+AC8)</f>
        <v>0.12128199649589932</v>
      </c>
      <c r="AD47" s="389"/>
      <c r="AE47" s="389">
        <f>AE45/(AE4+AE6+AE8)</f>
        <v>0.12447335193972255</v>
      </c>
      <c r="AF47" s="389"/>
      <c r="AG47" s="389">
        <f>AG45/(AG4+AG6+AG8)</f>
        <v>0.1274208081894235</v>
      </c>
      <c r="AH47" s="389"/>
      <c r="AI47" s="389"/>
    </row>
    <row r="48" spans="1:35" ht="14.25">
      <c r="A48" s="389" t="s">
        <v>1089</v>
      </c>
      <c r="B48" s="389"/>
      <c r="C48" s="382"/>
      <c r="D48" s="389"/>
      <c r="E48" s="389">
        <f>E45/E43</f>
        <v>0.15000028376039265</v>
      </c>
      <c r="F48" s="389"/>
      <c r="G48" s="389">
        <f>G45/G43</f>
        <v>0.1698257994949065</v>
      </c>
      <c r="H48" s="389"/>
      <c r="I48" s="389">
        <f>I45/I43</f>
        <v>0.18977252333929201</v>
      </c>
      <c r="J48" s="389"/>
      <c r="K48" s="389">
        <f>K45/K43</f>
        <v>0.20983038045387434</v>
      </c>
      <c r="L48" s="389"/>
      <c r="M48" s="389">
        <f>M45/M43</f>
        <v>0.2299885854515013</v>
      </c>
      <c r="N48" s="389"/>
      <c r="O48" s="389">
        <f>O45/O43</f>
        <v>0.2502356085801804</v>
      </c>
      <c r="P48" s="389"/>
      <c r="Q48" s="389">
        <f>Q45/Q43</f>
        <v>0.27055914049840146</v>
      </c>
      <c r="R48" s="389"/>
      <c r="S48" s="389">
        <f>S45/S43</f>
        <v>0.29094605558829983</v>
      </c>
      <c r="T48" s="389"/>
      <c r="U48" s="389">
        <f>U45/U43</f>
        <v>0.31138237374974764</v>
      </c>
      <c r="V48" s="389"/>
      <c r="W48" s="389">
        <f>W45/W43</f>
        <v>0.33185322061633371</v>
      </c>
      <c r="X48" s="389"/>
      <c r="Y48" s="389">
        <f>Y45/Y43</f>
        <v>0.35234278613197534</v>
      </c>
      <c r="Z48" s="389"/>
      <c r="AA48" s="389">
        <f>AA45/AA43</f>
        <v>0.37283428142460812</v>
      </c>
      <c r="AB48" s="389"/>
      <c r="AC48" s="389">
        <f>AC45/AC43</f>
        <v>0.39330989391102456</v>
      </c>
      <c r="AD48" s="389"/>
      <c r="AE48" s="389">
        <f>AE45/AE43</f>
        <v>0.41375074056447109</v>
      </c>
      <c r="AF48" s="389"/>
      <c r="AG48" s="389">
        <f>AG45/AG43</f>
        <v>0.43413681927404413</v>
      </c>
      <c r="AH48" s="389"/>
      <c r="AI48" s="389"/>
    </row>
    <row r="49" spans="1:35" ht="14.25">
      <c r="A49" s="390" t="s">
        <v>1090</v>
      </c>
      <c r="B49" s="390"/>
      <c r="C49" s="391"/>
      <c r="D49" s="390"/>
      <c r="E49" s="390">
        <f>E37/E43</f>
        <v>1.1500002837603926</v>
      </c>
      <c r="F49" s="390"/>
      <c r="G49" s="390">
        <f>G37/G43</f>
        <v>1.1698257994949064</v>
      </c>
      <c r="H49" s="390"/>
      <c r="I49" s="390">
        <f>I37/I43</f>
        <v>1.189772523339292</v>
      </c>
      <c r="J49" s="390"/>
      <c r="K49" s="390">
        <f>K37/K43</f>
        <v>1.2098303804538744</v>
      </c>
      <c r="L49" s="390"/>
      <c r="M49" s="390">
        <f>M37/M43</f>
        <v>1.2299885854515014</v>
      </c>
      <c r="N49" s="390"/>
      <c r="O49" s="390">
        <f>O37/O43</f>
        <v>1.2502356085801805</v>
      </c>
      <c r="P49" s="390"/>
      <c r="Q49" s="390">
        <f>Q37/Q43</f>
        <v>1.2705591404984014</v>
      </c>
      <c r="R49" s="390"/>
      <c r="S49" s="390">
        <f>S37/S43</f>
        <v>1.2909460555882999</v>
      </c>
      <c r="T49" s="390"/>
      <c r="U49" s="390">
        <f>U37/U43</f>
        <v>1.3113823737497476</v>
      </c>
      <c r="V49" s="390"/>
      <c r="W49" s="390">
        <f>W37/W43</f>
        <v>1.3318532206163336</v>
      </c>
      <c r="X49" s="390"/>
      <c r="Y49" s="390">
        <f>Y37/Y43</f>
        <v>1.3523427861319754</v>
      </c>
      <c r="Z49" s="390"/>
      <c r="AA49" s="390">
        <f>AA37/AA43</f>
        <v>1.3728342814246082</v>
      </c>
      <c r="AB49" s="390"/>
      <c r="AC49" s="390">
        <f>AC37/AC43</f>
        <v>1.3933098939110244</v>
      </c>
      <c r="AD49" s="390"/>
      <c r="AE49" s="390">
        <f>AE37/AE43</f>
        <v>1.4137507405644711</v>
      </c>
      <c r="AF49" s="390"/>
      <c r="AG49" s="390">
        <f>AG37/AG43</f>
        <v>1.4341368192740442</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f>+Application!AO630</f>
        <v>644393</v>
      </c>
      <c r="D60" s="371"/>
      <c r="E60" s="371">
        <f>E45-E58</f>
        <v>52861.599999999977</v>
      </c>
      <c r="F60" s="371"/>
      <c r="G60" s="371">
        <f>G45-G58</f>
        <v>59848.31</v>
      </c>
      <c r="H60" s="371"/>
      <c r="I60" s="371">
        <f>I45-I58</f>
        <v>66877.734949999896</v>
      </c>
      <c r="J60" s="371"/>
      <c r="K60" s="371">
        <f>K45-K58</f>
        <v>73946.324375749857</v>
      </c>
      <c r="L60" s="371"/>
      <c r="M60" s="371">
        <f>M45-M58</f>
        <v>81050.277398963575</v>
      </c>
      <c r="N60" s="371"/>
      <c r="O60" s="371">
        <f>O45-O58</f>
        <v>88185.530819741369</v>
      </c>
      <c r="P60" s="371"/>
      <c r="Q60" s="371">
        <f>Q45-Q58</f>
        <v>95347.746703041659</v>
      </c>
      <c r="R60" s="371"/>
      <c r="S60" s="371">
        <f>S45-S58</f>
        <v>102532.29944987275</v>
      </c>
      <c r="T60" s="371"/>
      <c r="U60" s="371">
        <f>+C60-SUM(E60:S60)</f>
        <v>23743.17630263092</v>
      </c>
      <c r="V60" s="371"/>
      <c r="W60" s="371"/>
      <c r="X60" s="371"/>
      <c r="Y60" s="371"/>
      <c r="Z60" s="371"/>
      <c r="AA60" s="371"/>
      <c r="AB60" s="371"/>
      <c r="AC60" s="371"/>
      <c r="AD60" s="371"/>
      <c r="AE60" s="371"/>
      <c r="AF60" s="371"/>
      <c r="AG60" s="371"/>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52861.599999999977</v>
      </c>
      <c r="F72" s="377"/>
      <c r="G72" s="371">
        <f>G60-G62-G70</f>
        <v>59848.31</v>
      </c>
      <c r="H72" s="377"/>
      <c r="I72" s="371">
        <f>I60-I62-I70</f>
        <v>66877.734949999896</v>
      </c>
      <c r="J72" s="377"/>
      <c r="K72" s="371">
        <f>K60-K62-K70</f>
        <v>73946.324375749857</v>
      </c>
      <c r="L72" s="377"/>
      <c r="M72" s="371">
        <f>M60-M62-M70</f>
        <v>81050.277398963575</v>
      </c>
      <c r="N72" s="377"/>
      <c r="O72" s="371">
        <f>O60-O62-O70</f>
        <v>88185.530819741369</v>
      </c>
      <c r="P72" s="377"/>
      <c r="Q72" s="371">
        <f>Q60-Q62-Q70</f>
        <v>95347.746703041659</v>
      </c>
      <c r="R72" s="377"/>
      <c r="S72" s="371">
        <f>S60-S62-S70</f>
        <v>102532.29944987275</v>
      </c>
      <c r="T72" s="377"/>
      <c r="U72" s="371">
        <f>U60-U62-U70</f>
        <v>23743.17630263092</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2008" t="s">
        <v>1099</v>
      </c>
      <c r="B77" s="2008"/>
      <c r="C77" s="2008"/>
      <c r="D77" s="2008"/>
      <c r="E77" s="2008"/>
      <c r="F77" s="2008"/>
      <c r="G77" s="2008"/>
      <c r="H77" s="2008"/>
      <c r="I77" s="2008"/>
      <c r="J77" s="2008"/>
      <c r="K77" s="2008"/>
      <c r="L77" s="2008"/>
      <c r="M77" s="2008"/>
      <c r="N77" s="2008"/>
      <c r="O77" s="2008"/>
      <c r="P77" s="2008"/>
      <c r="Q77" s="2008"/>
      <c r="R77" s="2008"/>
      <c r="S77" s="2008"/>
      <c r="T77" s="2008"/>
      <c r="U77" s="2008"/>
      <c r="V77" s="2008"/>
      <c r="W77" s="2008"/>
      <c r="X77" s="2008"/>
      <c r="Y77" s="2008"/>
      <c r="Z77" s="2008"/>
      <c r="AA77" s="2008"/>
      <c r="AB77" s="2008"/>
      <c r="AC77" s="2008"/>
      <c r="AD77" s="2008"/>
      <c r="AE77" s="2008"/>
      <c r="AF77" s="2008"/>
      <c r="AG77" s="2008"/>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2009" t="s">
        <v>1170</v>
      </c>
      <c r="B1" s="2009"/>
      <c r="C1" s="2009"/>
      <c r="D1" s="2009"/>
      <c r="E1" s="2009"/>
      <c r="F1" s="2009"/>
      <c r="G1" s="2009"/>
      <c r="H1" s="2009"/>
      <c r="I1" s="2009"/>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40">
        <f>Application!$G703</f>
        <v>5</v>
      </c>
      <c r="C4" s="599">
        <f>Application!$O703</f>
        <v>843</v>
      </c>
      <c r="D4" s="600"/>
      <c r="E4" s="938"/>
      <c r="F4" s="599">
        <f>$E4*$B4</f>
        <v>0</v>
      </c>
      <c r="G4" s="600"/>
      <c r="H4" s="599">
        <f>IF($E4=0,0,MAX($E4-$C4,0))</f>
        <v>0</v>
      </c>
      <c r="I4" s="599">
        <f>IF($H4=0,0,($H4*$B4))</f>
        <v>0</v>
      </c>
    </row>
    <row r="5" spans="1:9">
      <c r="A5" s="599" t="str">
        <f>Application!$B704</f>
        <v>1 Bedroom</v>
      </c>
      <c r="B5" s="939">
        <f>Application!$G704</f>
        <v>3</v>
      </c>
      <c r="C5" s="599">
        <f>Application!$O704</f>
        <v>1126</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5</v>
      </c>
      <c r="C6" s="599">
        <f>Application!$O705</f>
        <v>1409</v>
      </c>
      <c r="D6" s="600"/>
      <c r="E6" s="938"/>
      <c r="F6" s="599">
        <f t="shared" si="0"/>
        <v>0</v>
      </c>
      <c r="G6" s="600"/>
      <c r="H6" s="599">
        <f t="shared" si="1"/>
        <v>0</v>
      </c>
      <c r="I6" s="599">
        <f t="shared" si="2"/>
        <v>0</v>
      </c>
    </row>
    <row r="7" spans="1:9">
      <c r="A7" s="599" t="str">
        <f>Application!$B706</f>
        <v>2 Bedrooms</v>
      </c>
      <c r="B7" s="939">
        <f>Application!$G706</f>
        <v>6</v>
      </c>
      <c r="C7" s="599">
        <f>Application!$O706</f>
        <v>1013</v>
      </c>
      <c r="D7" s="600"/>
      <c r="E7" s="938"/>
      <c r="F7" s="599">
        <f t="shared" si="0"/>
        <v>0</v>
      </c>
      <c r="G7" s="600"/>
      <c r="H7" s="599">
        <f t="shared" si="1"/>
        <v>0</v>
      </c>
      <c r="I7" s="599">
        <f t="shared" si="2"/>
        <v>0</v>
      </c>
    </row>
    <row r="8" spans="1:9">
      <c r="A8" s="599" t="str">
        <f>Application!$B707</f>
        <v>2 Bedrooms</v>
      </c>
      <c r="B8" s="939">
        <f>Application!$G707</f>
        <v>4</v>
      </c>
      <c r="C8" s="599">
        <f>Application!$O707</f>
        <v>1353</v>
      </c>
      <c r="D8" s="600"/>
      <c r="E8" s="938"/>
      <c r="F8" s="599">
        <f t="shared" si="0"/>
        <v>0</v>
      </c>
      <c r="G8" s="600"/>
      <c r="H8" s="599">
        <f t="shared" si="1"/>
        <v>0</v>
      </c>
      <c r="I8" s="599">
        <f t="shared" si="2"/>
        <v>0</v>
      </c>
    </row>
    <row r="9" spans="1:9">
      <c r="A9" s="599" t="str">
        <f>Application!$B708</f>
        <v>2 Bedrooms</v>
      </c>
      <c r="B9" s="939">
        <f>Application!$G708</f>
        <v>13</v>
      </c>
      <c r="C9" s="599">
        <f>Application!$O708</f>
        <v>1692</v>
      </c>
      <c r="D9" s="600"/>
      <c r="E9" s="938"/>
      <c r="F9" s="599">
        <f t="shared" si="0"/>
        <v>0</v>
      </c>
      <c r="G9" s="600"/>
      <c r="H9" s="599">
        <f t="shared" si="1"/>
        <v>0</v>
      </c>
      <c r="I9" s="599">
        <f t="shared" si="2"/>
        <v>0</v>
      </c>
    </row>
    <row r="10" spans="1:9">
      <c r="A10" s="599" t="str">
        <f>Application!$B709</f>
        <v>3 Bedrooms</v>
      </c>
      <c r="B10" s="939">
        <f>Application!$G709</f>
        <v>2</v>
      </c>
      <c r="C10" s="599">
        <f>Application!$O709</f>
        <v>1171</v>
      </c>
      <c r="D10" s="600"/>
      <c r="E10" s="938"/>
      <c r="F10" s="599">
        <f t="shared" si="0"/>
        <v>0</v>
      </c>
      <c r="G10" s="600"/>
      <c r="H10" s="599">
        <f t="shared" si="1"/>
        <v>0</v>
      </c>
      <c r="I10" s="599">
        <f t="shared" si="2"/>
        <v>0</v>
      </c>
    </row>
    <row r="11" spans="1:9">
      <c r="A11" s="599" t="str">
        <f>Application!$B710</f>
        <v>3 Bedrooms</v>
      </c>
      <c r="B11" s="939">
        <f>Application!$G710</f>
        <v>3</v>
      </c>
      <c r="C11" s="599">
        <f>Application!$O710</f>
        <v>1564</v>
      </c>
      <c r="D11" s="600"/>
      <c r="E11" s="938"/>
      <c r="F11" s="599">
        <f t="shared" si="0"/>
        <v>0</v>
      </c>
      <c r="G11" s="600"/>
      <c r="H11" s="599">
        <f t="shared" si="1"/>
        <v>0</v>
      </c>
      <c r="I11" s="599">
        <f t="shared" si="2"/>
        <v>0</v>
      </c>
    </row>
    <row r="12" spans="1:9">
      <c r="A12" s="599" t="str">
        <f>Application!$B711</f>
        <v>3 Bedrooms</v>
      </c>
      <c r="B12" s="939">
        <f>Application!$G711</f>
        <v>8</v>
      </c>
      <c r="C12" s="599">
        <f>Application!$O711</f>
        <v>1957</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849768</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69" t="s">
        <v>1100</v>
      </c>
      <c r="B1" s="1670"/>
      <c r="C1" s="1670"/>
      <c r="D1" s="1670"/>
      <c r="E1" s="1670"/>
      <c r="F1" s="1670"/>
      <c r="G1" s="1670"/>
      <c r="H1" s="1670"/>
      <c r="I1" s="1670"/>
      <c r="J1" s="1670"/>
      <c r="K1" s="1670"/>
      <c r="L1" s="1670"/>
      <c r="M1" s="1670"/>
      <c r="N1" s="1670"/>
      <c r="O1" s="1670"/>
      <c r="P1" s="1670"/>
      <c r="Q1" s="1670"/>
      <c r="R1" s="1670"/>
      <c r="S1" s="1670"/>
      <c r="T1" s="1670"/>
      <c r="U1" s="1670"/>
      <c r="V1" s="1670"/>
      <c r="W1" s="1670"/>
      <c r="X1" s="1670"/>
      <c r="Y1" s="1670"/>
      <c r="Z1" s="1670"/>
      <c r="AA1" s="1670"/>
      <c r="AB1" s="1670"/>
      <c r="AC1" s="1670"/>
      <c r="AD1" s="1670"/>
      <c r="AE1" s="1670"/>
      <c r="AF1" s="1670"/>
      <c r="AG1" s="1670"/>
      <c r="AH1" s="1670"/>
      <c r="AI1" s="1670"/>
      <c r="AJ1" s="1670"/>
      <c r="AK1" s="1670"/>
      <c r="AL1" s="1670"/>
      <c r="AM1" s="1670"/>
      <c r="AN1" s="1670"/>
    </row>
    <row r="2" spans="1:40" ht="12.95" customHeight="1" thickBot="1">
      <c r="A2" s="1671"/>
      <c r="B2" s="1671"/>
      <c r="C2" s="1671"/>
      <c r="D2" s="1671"/>
      <c r="E2" s="1671"/>
      <c r="F2" s="1671"/>
      <c r="G2" s="1671"/>
      <c r="H2" s="1671"/>
      <c r="I2" s="1671"/>
      <c r="J2" s="1671"/>
      <c r="K2" s="1671"/>
      <c r="L2" s="1671"/>
      <c r="M2" s="1671"/>
      <c r="N2" s="1671"/>
      <c r="O2" s="1671"/>
      <c r="P2" s="1671"/>
      <c r="Q2" s="1671"/>
      <c r="R2" s="1671"/>
      <c r="S2" s="1671"/>
      <c r="T2" s="1671"/>
      <c r="U2" s="1671"/>
      <c r="V2" s="1671"/>
      <c r="W2" s="1671"/>
      <c r="X2" s="1671"/>
      <c r="Y2" s="1671"/>
      <c r="Z2" s="1671"/>
      <c r="AA2" s="1671"/>
      <c r="AB2" s="1671"/>
      <c r="AC2" s="1671"/>
      <c r="AD2" s="1671"/>
      <c r="AE2" s="1671"/>
      <c r="AF2" s="1671"/>
      <c r="AG2" s="1671"/>
      <c r="AH2" s="1671"/>
      <c r="AI2" s="1671"/>
      <c r="AJ2" s="1671"/>
      <c r="AK2" s="1671"/>
      <c r="AL2" s="1671"/>
      <c r="AM2" s="1671"/>
      <c r="AN2" s="167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55" t="s">
        <v>1601</v>
      </c>
      <c r="U7" s="1655"/>
      <c r="V7" s="1655"/>
      <c r="W7" s="1655"/>
      <c r="X7" s="1655"/>
      <c r="Y7" s="1655" t="s">
        <v>1740</v>
      </c>
      <c r="Z7" s="1655"/>
      <c r="AA7" s="1655"/>
      <c r="AB7" s="1655"/>
      <c r="AC7" s="1655"/>
      <c r="AD7" s="1655" t="s">
        <v>1359</v>
      </c>
      <c r="AE7" s="1655"/>
      <c r="AF7" s="1655"/>
      <c r="AG7" s="1655"/>
      <c r="AH7" s="1655"/>
      <c r="AI7" s="1655" t="s">
        <v>1741</v>
      </c>
      <c r="AJ7" s="1655"/>
      <c r="AK7" s="1655"/>
      <c r="AL7" s="1655"/>
      <c r="AM7" s="1655"/>
    </row>
    <row r="8" spans="1:40" ht="12.95" customHeight="1">
      <c r="B8" s="202"/>
      <c r="T8" s="1655"/>
      <c r="U8" s="1655"/>
      <c r="V8" s="1655"/>
      <c r="W8" s="1655"/>
      <c r="X8" s="1655"/>
      <c r="Y8" s="1655"/>
      <c r="Z8" s="1655"/>
      <c r="AA8" s="1655"/>
      <c r="AB8" s="1655"/>
      <c r="AC8" s="1655"/>
      <c r="AD8" s="1655"/>
      <c r="AE8" s="1655"/>
      <c r="AF8" s="1655"/>
      <c r="AG8" s="1655"/>
      <c r="AH8" s="1655"/>
      <c r="AI8" s="1655"/>
      <c r="AJ8" s="1655"/>
      <c r="AK8" s="1655"/>
      <c r="AL8" s="1655"/>
      <c r="AM8" s="1655"/>
    </row>
    <row r="9" spans="1:40" ht="12.95" customHeight="1">
      <c r="B9" s="202"/>
      <c r="T9" s="1655"/>
      <c r="U9" s="1655"/>
      <c r="V9" s="1655"/>
      <c r="W9" s="1655"/>
      <c r="X9" s="1655"/>
      <c r="Y9" s="1655"/>
      <c r="Z9" s="1655"/>
      <c r="AA9" s="1655"/>
      <c r="AB9" s="1655"/>
      <c r="AC9" s="1655"/>
      <c r="AD9" s="1655"/>
      <c r="AE9" s="1655"/>
      <c r="AF9" s="1655"/>
      <c r="AG9" s="1655"/>
      <c r="AH9" s="1655"/>
      <c r="AI9" s="1655"/>
      <c r="AJ9" s="1655"/>
      <c r="AK9" s="1655"/>
      <c r="AL9" s="1655"/>
      <c r="AM9" s="1655"/>
    </row>
    <row r="10" spans="1:40" ht="12.95" customHeight="1">
      <c r="B10" s="53"/>
      <c r="C10" s="54"/>
      <c r="D10" s="54"/>
      <c r="E10" s="54"/>
      <c r="F10" s="54"/>
      <c r="G10" s="54"/>
      <c r="H10" s="54"/>
      <c r="I10" s="54"/>
      <c r="J10" s="54"/>
      <c r="K10" s="54"/>
      <c r="L10" s="54"/>
      <c r="M10" s="54"/>
      <c r="N10" s="54"/>
      <c r="O10" s="54"/>
      <c r="P10" s="54"/>
      <c r="Q10" s="54"/>
      <c r="R10" s="54"/>
      <c r="S10" s="54"/>
      <c r="T10" s="1655"/>
      <c r="U10" s="1655"/>
      <c r="V10" s="1655"/>
      <c r="W10" s="1655"/>
      <c r="X10" s="1655"/>
      <c r="Y10" s="1655"/>
      <c r="Z10" s="1655"/>
      <c r="AA10" s="1655"/>
      <c r="AB10" s="1655"/>
      <c r="AC10" s="1655"/>
      <c r="AD10" s="1655"/>
      <c r="AE10" s="1655"/>
      <c r="AF10" s="1655"/>
      <c r="AG10" s="1655"/>
      <c r="AH10" s="1655"/>
      <c r="AI10" s="1655"/>
      <c r="AJ10" s="1655"/>
      <c r="AK10" s="1655"/>
      <c r="AL10" s="1655"/>
      <c r="AM10" s="1655"/>
    </row>
    <row r="11" spans="1:40" ht="12.95" customHeight="1">
      <c r="B11" s="1225" t="s">
        <v>508</v>
      </c>
      <c r="C11" s="1226"/>
      <c r="D11" s="1226"/>
      <c r="E11" s="1226"/>
      <c r="F11" s="1226"/>
      <c r="G11" s="1226"/>
      <c r="H11" s="1226"/>
      <c r="I11" s="1226"/>
      <c r="J11" s="1226"/>
      <c r="K11" s="1226"/>
      <c r="L11" s="1226"/>
      <c r="M11" s="1226"/>
      <c r="N11" s="1226"/>
      <c r="O11" s="1226"/>
      <c r="P11" s="1226"/>
      <c r="Q11" s="1226"/>
      <c r="R11" s="1226"/>
      <c r="S11" s="1227"/>
      <c r="T11" s="1663">
        <f>IF('Sources and Basis Breakdown'!F105=0,'Sources and Basis Breakdown'!E105,'Sources and Basis Breakdown'!F105)</f>
        <v>25760985</v>
      </c>
      <c r="U11" s="1656"/>
      <c r="V11" s="1656"/>
      <c r="W11" s="1656"/>
      <c r="X11" s="1656"/>
      <c r="Y11" s="1672">
        <f>IF('Sources and Basis Breakdown'!G105+'Sources and Basis Breakdown'!F105='Sources and Basis Breakdown'!E105,'Sources and Basis Breakdown'!G105,0)</f>
        <v>0</v>
      </c>
      <c r="Z11" s="1656"/>
      <c r="AA11" s="1656"/>
      <c r="AB11" s="1656"/>
      <c r="AC11" s="1656"/>
      <c r="AD11" s="1656">
        <f>IF('Sources and Basis Breakdown'!I105=0,'Sources and Basis Breakdown'!H105,'Sources and Basis Breakdown'!I105)</f>
        <v>0</v>
      </c>
      <c r="AE11" s="1656"/>
      <c r="AF11" s="1656"/>
      <c r="AG11" s="1656"/>
      <c r="AH11" s="1656"/>
      <c r="AI11" s="1656">
        <f>IF('Sources and Basis Breakdown'!I105+'Sources and Basis Breakdown'!J105='Sources and Basis Breakdown'!H105,'Sources and Basis Breakdown'!J105,0)</f>
        <v>0</v>
      </c>
      <c r="AJ11" s="1656"/>
      <c r="AK11" s="1656"/>
      <c r="AL11" s="1656"/>
      <c r="AM11" s="1656"/>
    </row>
    <row r="12" spans="1:40" ht="12.95" customHeight="1">
      <c r="B12" s="1657" t="s">
        <v>447</v>
      </c>
      <c r="C12" s="1038"/>
      <c r="D12" s="1038"/>
      <c r="E12" s="1038"/>
      <c r="F12" s="1038"/>
      <c r="G12" s="1038"/>
      <c r="H12" s="1038"/>
      <c r="I12" s="1038"/>
      <c r="J12" s="1038"/>
      <c r="K12" s="1038"/>
      <c r="L12" s="1038"/>
      <c r="M12" s="1038"/>
      <c r="N12" s="1038"/>
      <c r="O12" s="1038"/>
      <c r="P12" s="1038"/>
      <c r="Q12" s="1038"/>
      <c r="R12" s="1038"/>
      <c r="S12" s="1658"/>
      <c r="T12" s="1666"/>
      <c r="U12" s="1667"/>
      <c r="V12" s="1667"/>
      <c r="W12" s="1667"/>
      <c r="X12" s="1668"/>
      <c r="Y12" s="1666"/>
      <c r="Z12" s="1667"/>
      <c r="AA12" s="1667"/>
      <c r="AB12" s="1667"/>
      <c r="AC12" s="1668"/>
      <c r="AD12" s="1666"/>
      <c r="AE12" s="1667"/>
      <c r="AF12" s="1667"/>
      <c r="AG12" s="1667"/>
      <c r="AH12" s="1668"/>
      <c r="AI12" s="1666"/>
      <c r="AJ12" s="1667"/>
      <c r="AK12" s="1667"/>
      <c r="AL12" s="1667"/>
      <c r="AM12" s="1668"/>
    </row>
    <row r="13" spans="1:40" ht="12.95" customHeight="1">
      <c r="B13" s="8"/>
      <c r="C13" s="1659" t="s">
        <v>1706</v>
      </c>
      <c r="D13" s="1660"/>
      <c r="E13" s="1660"/>
      <c r="F13" s="1660"/>
      <c r="G13" s="1660"/>
      <c r="H13" s="1660"/>
      <c r="I13" s="1660"/>
      <c r="J13" s="1660"/>
      <c r="K13" s="1660"/>
      <c r="L13" s="1660"/>
      <c r="M13" s="1660"/>
      <c r="N13" s="1660"/>
      <c r="O13" s="1660"/>
      <c r="P13" s="1660"/>
      <c r="Q13" s="1660"/>
      <c r="R13" s="1660"/>
      <c r="S13" s="1661"/>
      <c r="T13" s="1664">
        <f>'Basis &amp; Credits'!T13</f>
        <v>0</v>
      </c>
      <c r="U13" s="1665"/>
      <c r="V13" s="1665"/>
      <c r="W13" s="1665"/>
      <c r="X13" s="1665"/>
      <c r="Y13" s="1664">
        <f>'Basis &amp; Credits'!Y13</f>
        <v>0</v>
      </c>
      <c r="Z13" s="1665"/>
      <c r="AA13" s="1665"/>
      <c r="AB13" s="1665"/>
      <c r="AC13" s="1665"/>
      <c r="AD13" s="1665">
        <f>'Basis &amp; Credits'!AD13</f>
        <v>0</v>
      </c>
      <c r="AE13" s="1665"/>
      <c r="AF13" s="1665"/>
      <c r="AG13" s="1665"/>
      <c r="AH13" s="1665"/>
      <c r="AI13" s="1665">
        <f>'Basis &amp; Credits'!AI13</f>
        <v>0</v>
      </c>
      <c r="AJ13" s="1665"/>
      <c r="AK13" s="1665"/>
      <c r="AL13" s="1665"/>
      <c r="AM13" s="1665"/>
    </row>
    <row r="14" spans="1:40" ht="12.95" customHeight="1">
      <c r="B14" s="8"/>
      <c r="C14" s="1660" t="s">
        <v>768</v>
      </c>
      <c r="D14" s="1660"/>
      <c r="E14" s="1660"/>
      <c r="F14" s="1660"/>
      <c r="G14" s="1660"/>
      <c r="H14" s="1660"/>
      <c r="I14" s="1660"/>
      <c r="J14" s="1660"/>
      <c r="K14" s="1660"/>
      <c r="L14" s="1660"/>
      <c r="M14" s="1660"/>
      <c r="N14" s="1660"/>
      <c r="O14" s="1660"/>
      <c r="P14" s="1660"/>
      <c r="Q14" s="1660"/>
      <c r="R14" s="1660"/>
      <c r="S14" s="1661"/>
      <c r="T14" s="1248">
        <f>'Basis &amp; Credits'!T14</f>
        <v>0</v>
      </c>
      <c r="U14" s="1105"/>
      <c r="V14" s="1105"/>
      <c r="W14" s="1105"/>
      <c r="X14" s="1105"/>
      <c r="Y14" s="1248">
        <f>'Basis &amp; Credits'!Y14</f>
        <v>0</v>
      </c>
      <c r="Z14" s="1105"/>
      <c r="AA14" s="1105"/>
      <c r="AB14" s="1105"/>
      <c r="AC14" s="1105"/>
      <c r="AD14" s="1105">
        <f>'Basis &amp; Credits'!AD14</f>
        <v>0</v>
      </c>
      <c r="AE14" s="1105"/>
      <c r="AF14" s="1105"/>
      <c r="AG14" s="1105"/>
      <c r="AH14" s="1105"/>
      <c r="AI14" s="1105">
        <f>'Basis &amp; Credits'!AI14</f>
        <v>0</v>
      </c>
      <c r="AJ14" s="1105"/>
      <c r="AK14" s="1105"/>
      <c r="AL14" s="1105"/>
      <c r="AM14" s="1105"/>
    </row>
    <row r="15" spans="1:40" ht="12.95" customHeight="1">
      <c r="B15" s="8"/>
      <c r="C15" s="1660" t="s">
        <v>769</v>
      </c>
      <c r="D15" s="1660"/>
      <c r="E15" s="1660"/>
      <c r="F15" s="1660"/>
      <c r="G15" s="1660"/>
      <c r="H15" s="1660"/>
      <c r="I15" s="1660"/>
      <c r="J15" s="1660"/>
      <c r="K15" s="1660"/>
      <c r="L15" s="1660"/>
      <c r="M15" s="1660"/>
      <c r="N15" s="1660"/>
      <c r="O15" s="1660"/>
      <c r="P15" s="1660"/>
      <c r="Q15" s="1660"/>
      <c r="R15" s="1660"/>
      <c r="S15" s="1661"/>
      <c r="T15" s="1248">
        <f>'Basis &amp; Credits'!T15</f>
        <v>0</v>
      </c>
      <c r="U15" s="1105"/>
      <c r="V15" s="1105"/>
      <c r="W15" s="1105"/>
      <c r="X15" s="1105"/>
      <c r="Y15" s="1248">
        <f>'Basis &amp; Credits'!Y15</f>
        <v>0</v>
      </c>
      <c r="Z15" s="1105"/>
      <c r="AA15" s="1105"/>
      <c r="AB15" s="1105"/>
      <c r="AC15" s="1105"/>
      <c r="AD15" s="1105">
        <f>'Basis &amp; Credits'!AD15</f>
        <v>0</v>
      </c>
      <c r="AE15" s="1105"/>
      <c r="AF15" s="1105"/>
      <c r="AG15" s="1105"/>
      <c r="AH15" s="1105"/>
      <c r="AI15" s="1105">
        <f>'Basis &amp; Credits'!AI15</f>
        <v>0</v>
      </c>
      <c r="AJ15" s="1105"/>
      <c r="AK15" s="1105"/>
      <c r="AL15" s="1105"/>
      <c r="AM15" s="1105"/>
    </row>
    <row r="16" spans="1:40" ht="12.95" customHeight="1">
      <c r="B16" s="8"/>
      <c r="C16" s="1659" t="s">
        <v>1012</v>
      </c>
      <c r="D16" s="1659"/>
      <c r="E16" s="1659"/>
      <c r="F16" s="1659"/>
      <c r="G16" s="1659"/>
      <c r="H16" s="1659"/>
      <c r="I16" s="1659"/>
      <c r="J16" s="1659"/>
      <c r="K16" s="1659"/>
      <c r="L16" s="1659"/>
      <c r="M16" s="1659"/>
      <c r="N16" s="1659"/>
      <c r="O16" s="1659"/>
      <c r="P16" s="1659"/>
      <c r="Q16" s="1659"/>
      <c r="R16" s="1659"/>
      <c r="S16" s="1662"/>
      <c r="T16" s="1248">
        <f>'Basis &amp; Credits'!T16</f>
        <v>0</v>
      </c>
      <c r="U16" s="1105"/>
      <c r="V16" s="1105"/>
      <c r="W16" s="1105"/>
      <c r="X16" s="1105"/>
      <c r="Y16" s="1248">
        <f>'Basis &amp; Credits'!Y16</f>
        <v>0</v>
      </c>
      <c r="Z16" s="1105"/>
      <c r="AA16" s="1105"/>
      <c r="AB16" s="1105"/>
      <c r="AC16" s="1105"/>
      <c r="AD16" s="1105">
        <f>'Basis &amp; Credits'!AD16</f>
        <v>0</v>
      </c>
      <c r="AE16" s="1105"/>
      <c r="AF16" s="1105"/>
      <c r="AG16" s="1105"/>
      <c r="AH16" s="1105"/>
      <c r="AI16" s="1105">
        <f>'Basis &amp; Credits'!AI16</f>
        <v>0</v>
      </c>
      <c r="AJ16" s="1105"/>
      <c r="AK16" s="1105"/>
      <c r="AL16" s="1105"/>
      <c r="AM16" s="1105"/>
    </row>
    <row r="17" spans="1:39" ht="12.95" customHeight="1">
      <c r="B17" s="8"/>
      <c r="C17" s="1660" t="s">
        <v>770</v>
      </c>
      <c r="D17" s="1660"/>
      <c r="E17" s="1660"/>
      <c r="F17" s="1660"/>
      <c r="G17" s="1660"/>
      <c r="H17" s="1660"/>
      <c r="I17" s="1660"/>
      <c r="J17" s="1660"/>
      <c r="K17" s="1660"/>
      <c r="L17" s="1660"/>
      <c r="M17" s="1660"/>
      <c r="N17" s="1660"/>
      <c r="O17" s="1660"/>
      <c r="P17" s="1660"/>
      <c r="Q17" s="1660"/>
      <c r="R17" s="1660"/>
      <c r="S17" s="1661"/>
      <c r="T17" s="1248">
        <f>'Basis &amp; Credits'!T17</f>
        <v>0</v>
      </c>
      <c r="U17" s="1105"/>
      <c r="V17" s="1105"/>
      <c r="W17" s="1105"/>
      <c r="X17" s="1105"/>
      <c r="Y17" s="1248">
        <f>'Basis &amp; Credits'!Y17</f>
        <v>0</v>
      </c>
      <c r="Z17" s="1105"/>
      <c r="AA17" s="1105"/>
      <c r="AB17" s="1105"/>
      <c r="AC17" s="1105"/>
      <c r="AD17" s="1105">
        <f>'Basis &amp; Credits'!AD17</f>
        <v>0</v>
      </c>
      <c r="AE17" s="1105"/>
      <c r="AF17" s="1105"/>
      <c r="AG17" s="1105"/>
      <c r="AH17" s="1105"/>
      <c r="AI17" s="1105">
        <f>'Basis &amp; Credits'!AI17</f>
        <v>0</v>
      </c>
      <c r="AJ17" s="1105"/>
      <c r="AK17" s="1105"/>
      <c r="AL17" s="1105"/>
      <c r="AM17" s="1105"/>
    </row>
    <row r="18" spans="1:39" ht="12.95" customHeight="1">
      <c r="B18" s="590"/>
      <c r="C18" s="1659" t="s">
        <v>1363</v>
      </c>
      <c r="D18" s="1660"/>
      <c r="E18" s="1660"/>
      <c r="F18" s="1660"/>
      <c r="G18" s="1660"/>
      <c r="H18" s="1660"/>
      <c r="I18" s="1660"/>
      <c r="J18" s="1660"/>
      <c r="K18" s="1660"/>
      <c r="L18" s="1660"/>
      <c r="M18" s="1660"/>
      <c r="N18" s="1660"/>
      <c r="O18" s="1660"/>
      <c r="P18" s="1660"/>
      <c r="Q18" s="1660"/>
      <c r="R18" s="1660"/>
      <c r="S18" s="1661"/>
      <c r="T18" s="1246">
        <f>'Basis &amp; Credits'!T18</f>
        <v>0</v>
      </c>
      <c r="U18" s="1247"/>
      <c r="V18" s="1247"/>
      <c r="W18" s="1247"/>
      <c r="X18" s="1248"/>
      <c r="Y18" s="1248">
        <f>'Basis &amp; Credits'!Y18</f>
        <v>0</v>
      </c>
      <c r="Z18" s="1105"/>
      <c r="AA18" s="1105"/>
      <c r="AB18" s="1105"/>
      <c r="AC18" s="1105"/>
      <c r="AD18" s="1105">
        <f>'Basis &amp; Credits'!AD18</f>
        <v>0</v>
      </c>
      <c r="AE18" s="1105"/>
      <c r="AF18" s="1105"/>
      <c r="AG18" s="1105"/>
      <c r="AH18" s="1105"/>
      <c r="AI18" s="1105">
        <f>'Basis &amp; Credits'!AI18</f>
        <v>0</v>
      </c>
      <c r="AJ18" s="1105"/>
      <c r="AK18" s="1105"/>
      <c r="AL18" s="1105"/>
      <c r="AM18" s="1105"/>
    </row>
    <row r="19" spans="1:39" ht="12.95" customHeight="1">
      <c r="B19" s="481"/>
      <c r="C19" s="1636" t="str">
        <f>'Basis &amp; Credits'!C19:S19</f>
        <v>Subtract (specify other ineligible amounts):</v>
      </c>
      <c r="D19" s="1636"/>
      <c r="E19" s="1636"/>
      <c r="F19" s="1636"/>
      <c r="G19" s="1636"/>
      <c r="H19" s="1636"/>
      <c r="I19" s="1636"/>
      <c r="J19" s="1636"/>
      <c r="K19" s="1636"/>
      <c r="L19" s="1636"/>
      <c r="M19" s="1636"/>
      <c r="N19" s="1636"/>
      <c r="O19" s="1636"/>
      <c r="P19" s="1636"/>
      <c r="Q19" s="1636"/>
      <c r="R19" s="1636"/>
      <c r="S19" s="1637"/>
      <c r="T19" s="1248">
        <f>'Basis &amp; Credits'!T19</f>
        <v>0</v>
      </c>
      <c r="U19" s="1105"/>
      <c r="V19" s="1105"/>
      <c r="W19" s="1105"/>
      <c r="X19" s="1105"/>
      <c r="Y19" s="1248">
        <f>'Basis &amp; Credits'!Y19</f>
        <v>0</v>
      </c>
      <c r="Z19" s="1105"/>
      <c r="AA19" s="1105"/>
      <c r="AB19" s="1105"/>
      <c r="AC19" s="1105"/>
      <c r="AD19" s="1105">
        <f>'Basis &amp; Credits'!AD19</f>
        <v>0</v>
      </c>
      <c r="AE19" s="1105"/>
      <c r="AF19" s="1105"/>
      <c r="AG19" s="1105"/>
      <c r="AH19" s="1105"/>
      <c r="AI19" s="1105">
        <f>'Basis &amp; Credits'!AI19</f>
        <v>0</v>
      </c>
      <c r="AJ19" s="1105"/>
      <c r="AK19" s="1105"/>
      <c r="AL19" s="1105"/>
      <c r="AM19" s="1105"/>
    </row>
    <row r="20" spans="1:39" ht="12.95" customHeight="1">
      <c r="B20" s="1225" t="s">
        <v>771</v>
      </c>
      <c r="C20" s="1226"/>
      <c r="D20" s="1226"/>
      <c r="E20" s="1226"/>
      <c r="F20" s="1226"/>
      <c r="G20" s="1226"/>
      <c r="H20" s="1226"/>
      <c r="I20" s="1226"/>
      <c r="J20" s="1226"/>
      <c r="K20" s="1226"/>
      <c r="L20" s="1226"/>
      <c r="M20" s="1226"/>
      <c r="N20" s="1226"/>
      <c r="O20" s="1226"/>
      <c r="P20" s="1226"/>
      <c r="Q20" s="1226"/>
      <c r="R20" s="1226"/>
      <c r="S20" s="1227"/>
      <c r="T20" s="1648">
        <f>SUM(T13:X19)</f>
        <v>0</v>
      </c>
      <c r="U20" s="1242"/>
      <c r="V20" s="1242"/>
      <c r="W20" s="1242"/>
      <c r="X20" s="1242"/>
      <c r="Y20" s="1648">
        <f>SUM(Y13:AC19)</f>
        <v>0</v>
      </c>
      <c r="Z20" s="1242"/>
      <c r="AA20" s="1242"/>
      <c r="AB20" s="1242"/>
      <c r="AC20" s="1242"/>
      <c r="AD20" s="1242">
        <f>SUM(AD13:AH19)</f>
        <v>0</v>
      </c>
      <c r="AE20" s="1242"/>
      <c r="AF20" s="1242"/>
      <c r="AG20" s="1242"/>
      <c r="AH20" s="1242"/>
      <c r="AI20" s="1242">
        <f>SUM(AI13:AM19)</f>
        <v>0</v>
      </c>
      <c r="AJ20" s="1242"/>
      <c r="AK20" s="1242"/>
      <c r="AL20" s="1242"/>
      <c r="AM20" s="1242"/>
    </row>
    <row r="21" spans="1:39" ht="12.95" customHeight="1">
      <c r="B21" s="1225" t="s">
        <v>1705</v>
      </c>
      <c r="C21" s="1226"/>
      <c r="D21" s="1226"/>
      <c r="E21" s="1226"/>
      <c r="F21" s="1226"/>
      <c r="G21" s="1226"/>
      <c r="H21" s="1226"/>
      <c r="I21" s="1226"/>
      <c r="J21" s="1226"/>
      <c r="K21" s="1226"/>
      <c r="L21" s="1226"/>
      <c r="M21" s="1226"/>
      <c r="N21" s="1226"/>
      <c r="O21" s="1226"/>
      <c r="P21" s="1226"/>
      <c r="Q21" s="1226"/>
      <c r="R21" s="1226"/>
      <c r="S21" s="1227"/>
      <c r="T21" s="1248">
        <f>'Basis &amp; Credits'!E21</f>
        <v>0</v>
      </c>
      <c r="U21" s="1105"/>
      <c r="V21" s="1105"/>
      <c r="W21" s="1105"/>
      <c r="X21" s="1105"/>
      <c r="Y21" s="1248">
        <f>'Basis &amp; Credits'!J21</f>
        <v>0</v>
      </c>
      <c r="Z21" s="1105"/>
      <c r="AA21" s="1105"/>
      <c r="AB21" s="1105"/>
      <c r="AC21" s="1105"/>
      <c r="AD21" s="1105">
        <f>'Basis &amp; Credits'!O21</f>
        <v>0</v>
      </c>
      <c r="AE21" s="1105"/>
      <c r="AF21" s="1105"/>
      <c r="AG21" s="1105"/>
      <c r="AH21" s="1105"/>
      <c r="AI21" s="1105">
        <f>'Basis &amp; Credits'!T21</f>
        <v>4999996</v>
      </c>
      <c r="AJ21" s="1105"/>
      <c r="AK21" s="1105"/>
      <c r="AL21" s="1105"/>
      <c r="AM21" s="1105"/>
    </row>
    <row r="22" spans="1:39" ht="12.95" customHeight="1">
      <c r="B22" s="1225" t="s">
        <v>772</v>
      </c>
      <c r="C22" s="1226"/>
      <c r="D22" s="1226"/>
      <c r="E22" s="1226"/>
      <c r="F22" s="1226"/>
      <c r="G22" s="1226"/>
      <c r="H22" s="1226"/>
      <c r="I22" s="1226"/>
      <c r="J22" s="1226"/>
      <c r="K22" s="1226"/>
      <c r="L22" s="1226"/>
      <c r="M22" s="1226"/>
      <c r="N22" s="1226"/>
      <c r="O22" s="1226"/>
      <c r="P22" s="1226"/>
      <c r="Q22" s="1226"/>
      <c r="R22" s="1226"/>
      <c r="S22" s="1227"/>
      <c r="T22" s="1649">
        <f>(T20+T21)*-1</f>
        <v>0</v>
      </c>
      <c r="U22" s="1650"/>
      <c r="V22" s="1650"/>
      <c r="W22" s="1650"/>
      <c r="X22" s="1650"/>
      <c r="Y22" s="1649">
        <f>(Y20+Y21)*-1</f>
        <v>0</v>
      </c>
      <c r="Z22" s="1650"/>
      <c r="AA22" s="1650"/>
      <c r="AB22" s="1650"/>
      <c r="AC22" s="1650"/>
      <c r="AD22" s="1649">
        <f>(AD20+AD21)*-1</f>
        <v>0</v>
      </c>
      <c r="AE22" s="1650"/>
      <c r="AF22" s="1650"/>
      <c r="AG22" s="1650"/>
      <c r="AH22" s="1650"/>
      <c r="AI22" s="1649">
        <f>(AI20+AI21)*-1</f>
        <v>-4999996</v>
      </c>
      <c r="AJ22" s="1650"/>
      <c r="AK22" s="1650"/>
      <c r="AL22" s="1650"/>
      <c r="AM22" s="1650"/>
    </row>
    <row r="23" spans="1:39" ht="12.95" customHeight="1">
      <c r="B23" s="1225" t="s">
        <v>773</v>
      </c>
      <c r="C23" s="1226"/>
      <c r="D23" s="1226"/>
      <c r="E23" s="1226"/>
      <c r="F23" s="1226"/>
      <c r="G23" s="1226"/>
      <c r="H23" s="1226"/>
      <c r="I23" s="1226"/>
      <c r="J23" s="1226"/>
      <c r="K23" s="1226"/>
      <c r="L23" s="1226"/>
      <c r="M23" s="1226"/>
      <c r="N23" s="1226"/>
      <c r="O23" s="1226"/>
      <c r="P23" s="1226"/>
      <c r="Q23" s="1226"/>
      <c r="R23" s="1226"/>
      <c r="S23" s="1227"/>
      <c r="T23" s="1648">
        <f>T11+T22</f>
        <v>25760985</v>
      </c>
      <c r="U23" s="1242"/>
      <c r="V23" s="1242"/>
      <c r="W23" s="1242"/>
      <c r="X23" s="1242"/>
      <c r="Y23" s="1648">
        <f>Y11+Y22</f>
        <v>0</v>
      </c>
      <c r="Z23" s="1242"/>
      <c r="AA23" s="1242"/>
      <c r="AB23" s="1242"/>
      <c r="AC23" s="1242"/>
      <c r="AD23" s="1648">
        <f>AD11+AD22</f>
        <v>0</v>
      </c>
      <c r="AE23" s="1242"/>
      <c r="AF23" s="1242"/>
      <c r="AG23" s="1242"/>
      <c r="AH23" s="1242"/>
      <c r="AI23" s="1648">
        <f>AI11+AI22</f>
        <v>-4999996</v>
      </c>
      <c r="AJ23" s="1242"/>
      <c r="AK23" s="1242"/>
      <c r="AL23" s="1242"/>
      <c r="AM23" s="1242"/>
    </row>
    <row r="24" spans="1:39" ht="12.95" customHeight="1">
      <c r="B24" s="1225" t="s">
        <v>1218</v>
      </c>
      <c r="C24" s="1226"/>
      <c r="D24" s="1226"/>
      <c r="E24" s="1226"/>
      <c r="F24" s="1226"/>
      <c r="G24" s="1226"/>
      <c r="H24" s="1226"/>
      <c r="I24" s="1226"/>
      <c r="J24" s="1226"/>
      <c r="K24" s="1226"/>
      <c r="L24" s="1226"/>
      <c r="M24" s="1226"/>
      <c r="N24" s="1226"/>
      <c r="O24" s="1226"/>
      <c r="P24" s="1226"/>
      <c r="Q24" s="1226"/>
      <c r="R24" s="1226"/>
      <c r="S24" s="1227"/>
      <c r="T24" s="1646">
        <f>Application!AD1019</f>
        <v>0</v>
      </c>
      <c r="U24" s="1647"/>
      <c r="V24" s="1647"/>
      <c r="W24" s="1647"/>
      <c r="X24" s="1647"/>
      <c r="Y24" s="1647"/>
      <c r="Z24" s="1647"/>
      <c r="AA24" s="1647"/>
      <c r="AB24" s="1647"/>
      <c r="AC24" s="1647"/>
      <c r="AD24" s="1647"/>
      <c r="AE24" s="1647"/>
      <c r="AF24" s="1647"/>
      <c r="AG24" s="1647"/>
      <c r="AH24" s="1647"/>
      <c r="AI24" s="1647"/>
      <c r="AJ24" s="1647"/>
      <c r="AK24" s="1647"/>
      <c r="AL24" s="1647"/>
      <c r="AM24" s="1648"/>
    </row>
    <row r="25" spans="1:39" ht="12.95" customHeight="1">
      <c r="B25" s="1638" t="s">
        <v>1739</v>
      </c>
      <c r="C25" s="1639"/>
      <c r="D25" s="1639"/>
      <c r="E25" s="1639"/>
      <c r="F25" s="1639"/>
      <c r="G25" s="1639"/>
      <c r="H25" s="1639"/>
      <c r="I25" s="1639"/>
      <c r="J25" s="1639"/>
      <c r="K25" s="1639"/>
      <c r="L25" s="1639"/>
      <c r="M25" s="1639"/>
      <c r="N25" s="1639"/>
      <c r="O25" s="1639"/>
      <c r="P25" s="1639"/>
      <c r="Q25" s="1639"/>
      <c r="R25" s="1639"/>
      <c r="S25" s="1640"/>
      <c r="T25" s="1652">
        <v>1</v>
      </c>
      <c r="U25" s="1653"/>
      <c r="V25" s="1653"/>
      <c r="W25" s="1653"/>
      <c r="X25" s="1654"/>
      <c r="Y25" s="1652">
        <v>1</v>
      </c>
      <c r="Z25" s="1653"/>
      <c r="AA25" s="1653"/>
      <c r="AB25" s="1653"/>
      <c r="AC25" s="1654"/>
      <c r="AD25" s="1652">
        <v>1</v>
      </c>
      <c r="AE25" s="1653"/>
      <c r="AF25" s="1653"/>
      <c r="AG25" s="1653"/>
      <c r="AH25" s="1654"/>
      <c r="AI25" s="1652">
        <v>1</v>
      </c>
      <c r="AJ25" s="1653"/>
      <c r="AK25" s="1653"/>
      <c r="AL25" s="1653"/>
      <c r="AM25" s="1654"/>
    </row>
    <row r="26" spans="1:39" ht="12.95" customHeight="1">
      <c r="B26" s="1225" t="s">
        <v>774</v>
      </c>
      <c r="C26" s="1226"/>
      <c r="D26" s="1226"/>
      <c r="E26" s="1226"/>
      <c r="F26" s="1226"/>
      <c r="G26" s="1226"/>
      <c r="H26" s="1226"/>
      <c r="I26" s="1226"/>
      <c r="J26" s="1226"/>
      <c r="K26" s="1226"/>
      <c r="L26" s="1226"/>
      <c r="M26" s="1226"/>
      <c r="N26" s="1226"/>
      <c r="O26" s="1226"/>
      <c r="P26" s="1226"/>
      <c r="Q26" s="1226"/>
      <c r="R26" s="1226"/>
      <c r="S26" s="1227"/>
      <c r="T26" s="1180">
        <f>T23*T25</f>
        <v>25760985</v>
      </c>
      <c r="U26" s="1651"/>
      <c r="V26" s="1651"/>
      <c r="W26" s="1651"/>
      <c r="X26" s="1651"/>
      <c r="Y26" s="1180">
        <f>Y23*Y25</f>
        <v>0</v>
      </c>
      <c r="Z26" s="1651"/>
      <c r="AA26" s="1651"/>
      <c r="AB26" s="1651"/>
      <c r="AC26" s="1651"/>
      <c r="AD26" s="1180">
        <f>AD23*AD25</f>
        <v>0</v>
      </c>
      <c r="AE26" s="1651"/>
      <c r="AF26" s="1651"/>
      <c r="AG26" s="1651"/>
      <c r="AH26" s="1651"/>
      <c r="AI26" s="1180">
        <f>AI23*AI25</f>
        <v>-4999996</v>
      </c>
      <c r="AJ26" s="1651"/>
      <c r="AK26" s="1651"/>
      <c r="AL26" s="1651"/>
      <c r="AM26" s="1651"/>
    </row>
    <row r="27" spans="1:39" ht="12.95" customHeight="1">
      <c r="A27" s="4"/>
      <c r="B27" s="1641" t="s">
        <v>879</v>
      </c>
      <c r="C27" s="1642"/>
      <c r="D27" s="1642"/>
      <c r="E27" s="1642"/>
      <c r="F27" s="1642"/>
      <c r="G27" s="1642"/>
      <c r="H27" s="1642"/>
      <c r="I27" s="1642"/>
      <c r="J27" s="1642"/>
      <c r="K27" s="1642"/>
      <c r="L27" s="1642"/>
      <c r="M27" s="1642"/>
      <c r="N27" s="1642"/>
      <c r="O27" s="1642"/>
      <c r="P27" s="1642"/>
      <c r="Q27" s="1642"/>
      <c r="R27" s="1642"/>
      <c r="S27" s="1643"/>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5" customHeight="1">
      <c r="A28" s="3"/>
      <c r="B28" s="1225" t="s">
        <v>843</v>
      </c>
      <c r="C28" s="1226"/>
      <c r="D28" s="1226"/>
      <c r="E28" s="1226"/>
      <c r="F28" s="1226"/>
      <c r="G28" s="1226"/>
      <c r="H28" s="1226"/>
      <c r="I28" s="1226"/>
      <c r="J28" s="1226"/>
      <c r="K28" s="1226"/>
      <c r="L28" s="1226"/>
      <c r="M28" s="1226"/>
      <c r="N28" s="1226"/>
      <c r="O28" s="1226"/>
      <c r="P28" s="1226"/>
      <c r="Q28" s="1226"/>
      <c r="R28" s="1226"/>
      <c r="S28" s="1227"/>
      <c r="T28" s="1180">
        <f>IF(ISERROR((T26*T27)),0,(T26*T27))</f>
        <v>25760985</v>
      </c>
      <c r="U28" s="1651"/>
      <c r="V28" s="1651"/>
      <c r="W28" s="1651"/>
      <c r="X28" s="1651"/>
      <c r="Y28" s="1180">
        <f>IF(ISERROR((Y26*Y27)),0,(Y26*Y27))</f>
        <v>0</v>
      </c>
      <c r="Z28" s="1651"/>
      <c r="AA28" s="1651"/>
      <c r="AB28" s="1651"/>
      <c r="AC28" s="1651"/>
      <c r="AD28" s="1180">
        <f>IF(ISERROR((AD26*AD27)),0,(AD26*AD27))</f>
        <v>0</v>
      </c>
      <c r="AE28" s="1651"/>
      <c r="AF28" s="1651"/>
      <c r="AG28" s="1651"/>
      <c r="AH28" s="1651"/>
      <c r="AI28" s="1180">
        <f>IF(ISERROR((AI26*AI27)),0,(AI26*AI27))</f>
        <v>-4999996</v>
      </c>
      <c r="AJ28" s="1651"/>
      <c r="AK28" s="1651"/>
      <c r="AL28" s="1651"/>
      <c r="AM28" s="1651"/>
    </row>
    <row r="29" spans="1:39" ht="12.95" customHeight="1">
      <c r="B29" s="1225" t="s">
        <v>623</v>
      </c>
      <c r="C29" s="1226"/>
      <c r="D29" s="1226"/>
      <c r="E29" s="1226"/>
      <c r="F29" s="1226"/>
      <c r="G29" s="1226"/>
      <c r="H29" s="1226"/>
      <c r="I29" s="1226"/>
      <c r="J29" s="1226"/>
      <c r="K29" s="1226"/>
      <c r="L29" s="1226"/>
      <c r="M29" s="1226"/>
      <c r="N29" s="1226"/>
      <c r="O29" s="1226"/>
      <c r="P29" s="1226"/>
      <c r="Q29" s="1226"/>
      <c r="R29" s="1226"/>
      <c r="S29" s="1227"/>
      <c r="T29" s="1646">
        <f>T28+Y28+AD28+AI28</f>
        <v>20760989</v>
      </c>
      <c r="U29" s="1647"/>
      <c r="V29" s="1647"/>
      <c r="W29" s="1647"/>
      <c r="X29" s="1647"/>
      <c r="Y29" s="1647"/>
      <c r="Z29" s="1647"/>
      <c r="AA29" s="1647"/>
      <c r="AB29" s="1647"/>
      <c r="AC29" s="1647"/>
      <c r="AD29" s="1647"/>
      <c r="AE29" s="1647"/>
      <c r="AF29" s="1647"/>
      <c r="AG29" s="1647"/>
      <c r="AH29" s="1647"/>
      <c r="AI29" s="1647"/>
      <c r="AJ29" s="1647"/>
      <c r="AK29" s="1647"/>
      <c r="AL29" s="1647"/>
      <c r="AM29" s="1648"/>
    </row>
    <row r="30" spans="1:39" ht="12.95" customHeight="1">
      <c r="B30" s="2011"/>
      <c r="C30" s="2011"/>
      <c r="D30" s="2011"/>
      <c r="E30" s="2011"/>
      <c r="F30" s="2011"/>
      <c r="G30" s="2011"/>
      <c r="H30" s="2011"/>
      <c r="I30" s="2011"/>
      <c r="J30" s="2011"/>
      <c r="K30" s="2011"/>
      <c r="L30" s="2011"/>
      <c r="M30" s="2011"/>
      <c r="N30" s="2011"/>
      <c r="O30" s="2011"/>
      <c r="P30" s="2011"/>
      <c r="Q30" s="2011"/>
      <c r="R30" s="2011"/>
      <c r="S30" s="2011"/>
      <c r="T30" s="2011"/>
      <c r="U30" s="2011"/>
      <c r="V30" s="2011"/>
      <c r="W30" s="2011"/>
      <c r="X30" s="2011"/>
      <c r="Y30" s="2011"/>
      <c r="Z30" s="2011"/>
      <c r="AA30" s="2011"/>
      <c r="AB30" s="2011"/>
      <c r="AC30" s="2011"/>
      <c r="AD30" s="2011"/>
      <c r="AE30" s="2011"/>
      <c r="AF30" s="2011"/>
      <c r="AG30" s="2011"/>
      <c r="AH30" s="2011"/>
      <c r="AI30" s="2011"/>
      <c r="AJ30" s="2011"/>
      <c r="AK30" s="2011"/>
      <c r="AL30" s="2011"/>
      <c r="AM30" s="2011"/>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55" t="s">
        <v>1600</v>
      </c>
      <c r="Z35" s="1655"/>
      <c r="AA35" s="1655"/>
      <c r="AB35" s="1655"/>
      <c r="AC35" s="1655"/>
      <c r="AD35" s="1532" t="s">
        <v>41</v>
      </c>
      <c r="AE35" s="1532"/>
      <c r="AF35" s="1532"/>
      <c r="AG35" s="1532"/>
      <c r="AH35" s="1532"/>
    </row>
    <row r="36" spans="1:40" ht="12.95" customHeight="1">
      <c r="B36" s="202"/>
      <c r="X36" s="71"/>
      <c r="Y36" s="1655"/>
      <c r="Z36" s="1655"/>
      <c r="AA36" s="1655"/>
      <c r="AB36" s="1655"/>
      <c r="AC36" s="1655"/>
      <c r="AD36" s="1532"/>
      <c r="AE36" s="1532"/>
      <c r="AF36" s="1532"/>
      <c r="AG36" s="1532"/>
      <c r="AH36" s="153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55"/>
      <c r="Z37" s="1655"/>
      <c r="AA37" s="1655"/>
      <c r="AB37" s="1655"/>
      <c r="AC37" s="1655"/>
      <c r="AD37" s="1532"/>
      <c r="AE37" s="1532"/>
      <c r="AF37" s="1532"/>
      <c r="AG37" s="1532"/>
      <c r="AH37" s="1532"/>
    </row>
    <row r="38" spans="1:40" ht="12.95" customHeight="1">
      <c r="A38" s="3"/>
      <c r="B38" s="1225" t="s">
        <v>843</v>
      </c>
      <c r="C38" s="1226"/>
      <c r="D38" s="1226"/>
      <c r="E38" s="1226"/>
      <c r="F38" s="1226"/>
      <c r="G38" s="1226"/>
      <c r="H38" s="1226"/>
      <c r="I38" s="1226"/>
      <c r="J38" s="1226"/>
      <c r="K38" s="1226"/>
      <c r="L38" s="1226"/>
      <c r="M38" s="1226"/>
      <c r="N38" s="1226"/>
      <c r="O38" s="1226"/>
      <c r="P38" s="1226"/>
      <c r="Q38" s="1226"/>
      <c r="R38" s="1226"/>
      <c r="S38" s="1226"/>
      <c r="T38" s="1226"/>
      <c r="U38" s="1226"/>
      <c r="V38" s="1226"/>
      <c r="W38" s="1226"/>
      <c r="X38" s="1227"/>
      <c r="Y38" s="1242">
        <f>IF(T24&gt;=(T23+Y23+AD23+AI23),T28+Y28,0)</f>
        <v>0</v>
      </c>
      <c r="Z38" s="1242"/>
      <c r="AA38" s="1242"/>
      <c r="AB38" s="1242"/>
      <c r="AC38" s="1242"/>
      <c r="AD38" s="1242">
        <f>IF(T24&gt;=(T23+Y23+AD23+AI23),AD28+AI28,0)</f>
        <v>0</v>
      </c>
      <c r="AE38" s="1242"/>
      <c r="AF38" s="1242"/>
      <c r="AG38" s="1242"/>
      <c r="AH38" s="1242"/>
    </row>
    <row r="39" spans="1:40" ht="12.95" customHeight="1">
      <c r="B39" s="1225" t="s">
        <v>765</v>
      </c>
      <c r="C39" s="1226"/>
      <c r="D39" s="1226"/>
      <c r="E39" s="1226"/>
      <c r="F39" s="1226"/>
      <c r="G39" s="1226"/>
      <c r="H39" s="1226"/>
      <c r="I39" s="1226"/>
      <c r="J39" s="1226"/>
      <c r="K39" s="1226"/>
      <c r="L39" s="1226"/>
      <c r="M39" s="1226"/>
      <c r="N39" s="1226"/>
      <c r="O39" s="1226"/>
      <c r="P39" s="1226"/>
      <c r="Q39" s="1226"/>
      <c r="R39" s="1226"/>
      <c r="S39" s="1226"/>
      <c r="T39" s="1226"/>
      <c r="U39" s="1226"/>
      <c r="V39" s="1226"/>
      <c r="W39" s="1226"/>
      <c r="X39" s="1227"/>
      <c r="Y39" s="2010">
        <v>0.09</v>
      </c>
      <c r="Z39" s="2010"/>
      <c r="AA39" s="2010"/>
      <c r="AB39" s="2010"/>
      <c r="AC39" s="2010"/>
      <c r="AD39" s="1686">
        <v>0.04</v>
      </c>
      <c r="AE39" s="1686"/>
      <c r="AF39" s="1686"/>
      <c r="AG39" s="1686"/>
      <c r="AH39" s="1686"/>
    </row>
    <row r="40" spans="1:40" ht="12.95" customHeight="1">
      <c r="A40" s="3"/>
      <c r="B40" s="1225" t="s">
        <v>23</v>
      </c>
      <c r="C40" s="1226"/>
      <c r="D40" s="1226"/>
      <c r="E40" s="1226"/>
      <c r="F40" s="1226"/>
      <c r="G40" s="1226"/>
      <c r="H40" s="1226"/>
      <c r="I40" s="1226"/>
      <c r="J40" s="1226"/>
      <c r="K40" s="1226"/>
      <c r="L40" s="1226"/>
      <c r="M40" s="1226"/>
      <c r="N40" s="1226"/>
      <c r="O40" s="1226"/>
      <c r="P40" s="1226"/>
      <c r="Q40" s="1226"/>
      <c r="R40" s="1226"/>
      <c r="S40" s="1226"/>
      <c r="T40" s="1226"/>
      <c r="U40" s="1226"/>
      <c r="V40" s="1226"/>
      <c r="W40" s="1226"/>
      <c r="X40" s="1227"/>
      <c r="Y40" s="1242">
        <f>ROUND(Y38*Y39,0)</f>
        <v>0</v>
      </c>
      <c r="Z40" s="1242"/>
      <c r="AA40" s="1242"/>
      <c r="AB40" s="1242"/>
      <c r="AC40" s="1242"/>
      <c r="AD40" s="1648">
        <f>ROUND(AD38*AD39,0)</f>
        <v>0</v>
      </c>
      <c r="AE40" s="1242"/>
      <c r="AF40" s="1242"/>
      <c r="AG40" s="1242"/>
      <c r="AH40" s="1242"/>
    </row>
    <row r="41" spans="1:40" ht="12.95" customHeight="1">
      <c r="B41" s="1225" t="s">
        <v>617</v>
      </c>
      <c r="C41" s="1226"/>
      <c r="D41" s="1226"/>
      <c r="E41" s="1226"/>
      <c r="F41" s="1226"/>
      <c r="G41" s="1226"/>
      <c r="H41" s="1226"/>
      <c r="I41" s="1226"/>
      <c r="J41" s="1226"/>
      <c r="K41" s="1226"/>
      <c r="L41" s="1226"/>
      <c r="M41" s="1226"/>
      <c r="N41" s="1226"/>
      <c r="O41" s="1226"/>
      <c r="P41" s="1226"/>
      <c r="Q41" s="1226"/>
      <c r="R41" s="1226"/>
      <c r="S41" s="1226"/>
      <c r="T41" s="1226"/>
      <c r="U41" s="1226"/>
      <c r="V41" s="1226"/>
      <c r="W41" s="1226"/>
      <c r="X41" s="1227"/>
      <c r="Y41" s="1646">
        <f>IF((Y40+AD40)&gt;2500000,2500000,Y40+AD40)</f>
        <v>0</v>
      </c>
      <c r="Z41" s="1647"/>
      <c r="AA41" s="1647"/>
      <c r="AB41" s="1647"/>
      <c r="AC41" s="1647"/>
      <c r="AD41" s="1647"/>
      <c r="AE41" s="1647"/>
      <c r="AF41" s="1647"/>
      <c r="AG41" s="1647"/>
      <c r="AH41" s="1648"/>
    </row>
    <row r="42" spans="1:40" ht="12.95" customHeight="1">
      <c r="A42" s="3"/>
      <c r="B42" s="1680" t="s">
        <v>1162</v>
      </c>
      <c r="C42" s="1680"/>
      <c r="D42" s="1680"/>
      <c r="E42" s="1680"/>
      <c r="F42" s="1680"/>
      <c r="G42" s="1680"/>
      <c r="H42" s="1680"/>
      <c r="I42" s="1680"/>
      <c r="J42" s="1680"/>
      <c r="K42" s="1680"/>
      <c r="L42" s="1680"/>
      <c r="M42" s="1680"/>
      <c r="N42" s="1680"/>
      <c r="O42" s="1680"/>
      <c r="P42" s="1680"/>
      <c r="Q42" s="1680"/>
      <c r="R42" s="1680"/>
      <c r="S42" s="1680"/>
      <c r="T42" s="1680"/>
      <c r="U42" s="1680"/>
      <c r="V42" s="1680"/>
      <c r="W42" s="1680"/>
      <c r="X42" s="1680"/>
      <c r="Y42" s="1680"/>
      <c r="Z42" s="1680"/>
      <c r="AA42" s="1680"/>
      <c r="AB42" s="1680"/>
      <c r="AC42" s="1680"/>
      <c r="AD42" s="1680"/>
      <c r="AE42" s="1680"/>
      <c r="AF42" s="1680"/>
      <c r="AG42" s="1680"/>
      <c r="AH42" s="1680"/>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6">
        <f>'Sources and Uses Budget'!B104-'Sources and Uses Budget'!$B$15</f>
        <v>30313987</v>
      </c>
      <c r="AC46" s="1237"/>
      <c r="AD46" s="1237"/>
      <c r="AE46" s="1237"/>
      <c r="AF46" s="1238"/>
    </row>
    <row r="47" spans="1:40" ht="12.95" customHeight="1">
      <c r="D47" s="3" t="s">
        <v>837</v>
      </c>
      <c r="AB47" s="1236">
        <f>Application!AG641-MIN('Sources and Uses Budget'!B15,Application!AG393)</f>
        <v>0</v>
      </c>
      <c r="AC47" s="1237"/>
      <c r="AD47" s="1237"/>
      <c r="AE47" s="1237"/>
      <c r="AF47" s="1238"/>
    </row>
    <row r="48" spans="1:40" ht="12.95" customHeight="1">
      <c r="D48" s="3" t="s">
        <v>378</v>
      </c>
      <c r="AB48" s="1236">
        <f>AB46-AB47</f>
        <v>30313987</v>
      </c>
      <c r="AC48" s="1237"/>
      <c r="AD48" s="1237"/>
      <c r="AE48" s="1237"/>
      <c r="AF48" s="1238"/>
    </row>
    <row r="49" spans="1:40" ht="12.95" customHeight="1">
      <c r="D49" s="3" t="s">
        <v>872</v>
      </c>
      <c r="AA49" s="34"/>
      <c r="AB49" s="1675"/>
      <c r="AC49" s="1676"/>
      <c r="AD49" s="1676"/>
      <c r="AE49" s="1676"/>
      <c r="AF49" s="1677"/>
    </row>
    <row r="50" spans="1:40" s="321" customFormat="1" ht="12.95" customHeight="1">
      <c r="A50"/>
      <c r="B50"/>
      <c r="C50"/>
      <c r="D50"/>
      <c r="E50" s="1681" t="s">
        <v>1352</v>
      </c>
      <c r="F50" s="1681"/>
      <c r="G50" s="1681"/>
      <c r="H50" s="1681"/>
      <c r="I50" s="1681"/>
      <c r="J50" s="1681"/>
      <c r="K50" s="1681"/>
      <c r="L50" s="1681"/>
      <c r="M50" s="1681"/>
      <c r="N50" s="1681"/>
      <c r="O50" s="1681"/>
      <c r="P50" s="1681"/>
      <c r="Q50" s="1681"/>
      <c r="R50" s="1681"/>
      <c r="S50" s="1681"/>
      <c r="T50" s="1681"/>
      <c r="U50" s="1681"/>
      <c r="V50" s="1681"/>
      <c r="W50" s="1681"/>
      <c r="X50" s="1681"/>
      <c r="Y50" s="1681"/>
      <c r="Z50" s="1681"/>
      <c r="AA50" s="351"/>
      <c r="AB50" s="351"/>
      <c r="AC50" s="351"/>
      <c r="AD50" s="351"/>
      <c r="AE50" s="351"/>
      <c r="AF50" s="351"/>
      <c r="AG50"/>
      <c r="AH50"/>
      <c r="AI50"/>
      <c r="AJ50"/>
      <c r="AK50"/>
      <c r="AL50"/>
      <c r="AM50"/>
      <c r="AN50"/>
    </row>
    <row r="51" spans="1:40" s="321" customFormat="1" ht="12.95" customHeight="1">
      <c r="A51"/>
      <c r="B51"/>
      <c r="C51"/>
      <c r="D51"/>
      <c r="E51" s="1681"/>
      <c r="F51" s="1681"/>
      <c r="G51" s="1681"/>
      <c r="H51" s="1681"/>
      <c r="I51" s="1681"/>
      <c r="J51" s="1681"/>
      <c r="K51" s="1681"/>
      <c r="L51" s="1681"/>
      <c r="M51" s="1681"/>
      <c r="N51" s="1681"/>
      <c r="O51" s="1681"/>
      <c r="P51" s="1681"/>
      <c r="Q51" s="1681"/>
      <c r="R51" s="1681"/>
      <c r="S51" s="1681"/>
      <c r="T51" s="1681"/>
      <c r="U51" s="1681"/>
      <c r="V51" s="1681"/>
      <c r="W51" s="1681"/>
      <c r="X51" s="1681"/>
      <c r="Y51" s="1681"/>
      <c r="Z51" s="168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6">
        <f>ROUND(IF(ISERROR((AB48/AB49)),0,(AB48/AB49)),0)</f>
        <v>0</v>
      </c>
      <c r="AC53" s="1237"/>
      <c r="AD53" s="1237"/>
      <c r="AE53" s="1237"/>
      <c r="AF53" s="1238"/>
    </row>
    <row r="54" spans="1:40" ht="12.95" customHeight="1">
      <c r="D54" s="3" t="s">
        <v>561</v>
      </c>
      <c r="AB54" s="1236">
        <f>(AB53/10)</f>
        <v>0</v>
      </c>
      <c r="AC54" s="1237"/>
      <c r="AD54" s="1237"/>
      <c r="AE54" s="1237"/>
      <c r="AF54" s="1238"/>
    </row>
    <row r="55" spans="1:40" ht="12.95" customHeight="1">
      <c r="D55" s="3" t="s">
        <v>341</v>
      </c>
      <c r="AB55" s="1236">
        <f>(IF((Y41&lt;AB54),Y41,AB54))</f>
        <v>0</v>
      </c>
      <c r="AC55" s="1237"/>
      <c r="AD55" s="1237"/>
      <c r="AE55" s="1237"/>
      <c r="AF55" s="1238"/>
    </row>
    <row r="56" spans="1:40" ht="12.95" customHeight="1">
      <c r="D56" s="3" t="s">
        <v>107</v>
      </c>
      <c r="AB56" s="1236">
        <f>ROUND((10*AB55*AB49),0)</f>
        <v>0</v>
      </c>
      <c r="AC56" s="1237"/>
      <c r="AD56" s="1237"/>
      <c r="AE56" s="1237"/>
      <c r="AF56" s="1238"/>
    </row>
    <row r="57" spans="1:40" ht="12.95" customHeight="1">
      <c r="D57" s="3"/>
      <c r="AB57" s="274"/>
      <c r="AC57" s="274"/>
      <c r="AD57" s="274"/>
      <c r="AE57" s="274"/>
      <c r="AF57" s="274"/>
    </row>
    <row r="58" spans="1:40" ht="12.95" customHeight="1">
      <c r="D58" s="3" t="s">
        <v>106</v>
      </c>
      <c r="AB58" s="1127">
        <f>AB48-AB56</f>
        <v>30313987</v>
      </c>
      <c r="AC58" s="1127"/>
      <c r="AD58" s="1127"/>
      <c r="AE58" s="1127"/>
      <c r="AF58" s="112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84" t="s">
        <v>1742</v>
      </c>
      <c r="B60" s="1684"/>
      <c r="C60" s="1684"/>
      <c r="D60" s="1684"/>
      <c r="E60" s="1684"/>
      <c r="F60" s="1684"/>
      <c r="G60" s="1684"/>
      <c r="H60" s="1684"/>
      <c r="I60" s="1684"/>
      <c r="J60" s="1684"/>
      <c r="K60" s="1684"/>
      <c r="L60" s="1684"/>
      <c r="M60" s="1684"/>
      <c r="N60" s="1684"/>
      <c r="O60" s="1684"/>
      <c r="P60" s="1684"/>
      <c r="Q60" s="1684"/>
      <c r="R60" s="1684"/>
      <c r="S60" s="1684"/>
      <c r="T60" s="1684"/>
      <c r="U60" s="1684"/>
      <c r="V60" s="1684"/>
      <c r="W60" s="1684"/>
      <c r="X60" s="1684"/>
      <c r="Y60" s="1684"/>
      <c r="Z60" s="1684"/>
      <c r="AA60" s="1684"/>
      <c r="AB60" s="1684"/>
      <c r="AC60" s="1684"/>
      <c r="AD60" s="1684"/>
      <c r="AE60" s="1684"/>
      <c r="AF60" s="1684"/>
      <c r="AG60" s="1684"/>
      <c r="AH60" s="1684"/>
      <c r="AI60" s="1684"/>
      <c r="AJ60" s="1684"/>
      <c r="AK60" s="1684"/>
      <c r="AL60" s="1684"/>
      <c r="AM60" s="1684"/>
      <c r="AN60" s="1684"/>
    </row>
    <row r="61" spans="1:40" ht="12.95" customHeight="1" thickTop="1">
      <c r="A61" s="1560"/>
      <c r="B61" s="1560"/>
      <c r="C61" s="1560"/>
      <c r="D61" s="1560"/>
      <c r="E61" s="1560"/>
      <c r="F61" s="1560"/>
      <c r="G61" s="1560"/>
      <c r="H61" s="1560"/>
      <c r="I61" s="1560"/>
      <c r="J61" s="1560"/>
      <c r="K61" s="1560"/>
      <c r="L61" s="1560"/>
      <c r="M61" s="1560"/>
      <c r="N61" s="1560"/>
      <c r="O61" s="1560"/>
      <c r="P61" s="1560"/>
      <c r="Q61" s="1560"/>
      <c r="R61" s="1560"/>
      <c r="S61" s="1560"/>
      <c r="T61" s="1560"/>
      <c r="U61" s="1560"/>
      <c r="V61" s="1560"/>
      <c r="W61" s="1560"/>
      <c r="X61" s="1560"/>
      <c r="Y61" s="1560"/>
      <c r="Z61" s="1560"/>
      <c r="AA61" s="1560"/>
      <c r="AB61" s="1560"/>
      <c r="AC61" s="1560"/>
      <c r="AD61" s="1560"/>
      <c r="AE61" s="1560"/>
      <c r="AF61" s="1560"/>
      <c r="AG61" s="1560"/>
      <c r="AH61" s="1560"/>
      <c r="AI61" s="1560"/>
      <c r="AJ61" s="1560"/>
      <c r="AK61" s="1560"/>
      <c r="AL61" s="1560"/>
      <c r="AM61" s="1560"/>
      <c r="AN61" s="1560"/>
    </row>
    <row r="62" spans="1:40" ht="12.95" customHeight="1">
      <c r="A62" s="3" t="s">
        <v>122</v>
      </c>
      <c r="C62" s="3" t="s">
        <v>509</v>
      </c>
      <c r="Y62" s="1206" t="s">
        <v>298</v>
      </c>
      <c r="Z62" s="1206"/>
      <c r="AA62" s="1206"/>
      <c r="AB62" s="1206"/>
      <c r="AC62" s="1206"/>
      <c r="AD62" s="1206" t="s">
        <v>41</v>
      </c>
      <c r="AE62" s="1206"/>
      <c r="AF62" s="1206"/>
      <c r="AG62" s="1206"/>
      <c r="AH62" s="1206"/>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2">
        <f>Y28</f>
        <v>0</v>
      </c>
      <c r="Z63" s="1678"/>
      <c r="AA63" s="1678"/>
      <c r="AB63" s="1678"/>
      <c r="AC63" s="1678"/>
      <c r="AD63" s="1242">
        <f>AI28</f>
        <v>-4999996</v>
      </c>
      <c r="AE63" s="1678"/>
      <c r="AF63" s="1678"/>
      <c r="AG63" s="1678"/>
      <c r="AH63" s="1678"/>
    </row>
    <row r="64" spans="1:40" ht="12.95" customHeight="1">
      <c r="C64" s="3"/>
      <c r="E64" s="1685" t="s">
        <v>1289</v>
      </c>
      <c r="F64" s="1685"/>
      <c r="G64" s="1685"/>
      <c r="H64" s="1685"/>
      <c r="I64" s="1685"/>
      <c r="J64" s="1685"/>
      <c r="K64" s="1685"/>
      <c r="L64" s="1685"/>
      <c r="M64" s="1685"/>
      <c r="N64" s="1685"/>
      <c r="O64" s="1685"/>
      <c r="P64" s="1685"/>
      <c r="Q64" s="1685"/>
      <c r="R64" s="1685"/>
      <c r="S64" s="1685"/>
      <c r="T64" s="1685"/>
      <c r="U64" s="1685"/>
      <c r="V64" s="1685"/>
      <c r="W64" s="1685"/>
      <c r="X64" s="1685"/>
      <c r="Y64" s="1685"/>
      <c r="Z64" s="1685"/>
      <c r="AA64" s="1685"/>
      <c r="AB64" s="1685"/>
      <c r="AC64" s="1685"/>
      <c r="AD64" s="1685"/>
      <c r="AE64" s="1685"/>
      <c r="AF64" s="1685"/>
      <c r="AG64" s="1685"/>
      <c r="AH64" s="1685"/>
    </row>
    <row r="65" spans="1:34" ht="32.25" customHeight="1">
      <c r="C65" s="3"/>
      <c r="E65" s="1685"/>
      <c r="F65" s="1685"/>
      <c r="G65" s="1685"/>
      <c r="H65" s="1685"/>
      <c r="I65" s="1685"/>
      <c r="J65" s="1685"/>
      <c r="K65" s="1685"/>
      <c r="L65" s="1685"/>
      <c r="M65" s="1685"/>
      <c r="N65" s="1685"/>
      <c r="O65" s="1685"/>
      <c r="P65" s="1685"/>
      <c r="Q65" s="1685"/>
      <c r="R65" s="1685"/>
      <c r="S65" s="1685"/>
      <c r="T65" s="1685"/>
      <c r="U65" s="1685"/>
      <c r="V65" s="1685"/>
      <c r="W65" s="1685"/>
      <c r="X65" s="1685"/>
      <c r="Y65" s="1685"/>
      <c r="Z65" s="1685"/>
      <c r="AA65" s="1685"/>
      <c r="AB65" s="1685"/>
      <c r="AC65" s="1685"/>
      <c r="AD65" s="1685"/>
      <c r="AE65" s="1685"/>
      <c r="AF65" s="1685"/>
      <c r="AG65" s="1685"/>
      <c r="AH65" s="168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74">
        <v>0.3</v>
      </c>
      <c r="Z66" s="1674"/>
      <c r="AA66" s="1674"/>
      <c r="AB66" s="1674"/>
      <c r="AC66" s="1674"/>
      <c r="AD66" s="1674">
        <v>0.13</v>
      </c>
      <c r="AE66" s="1674"/>
      <c r="AF66" s="1674"/>
      <c r="AG66" s="1674"/>
      <c r="AH66" s="1674"/>
    </row>
    <row r="67" spans="1:34" ht="12.95" customHeight="1">
      <c r="C67" s="3"/>
      <c r="D67" s="3" t="s">
        <v>941</v>
      </c>
      <c r="Y67" s="1242">
        <f>ROUND(Y63*Y66,0)</f>
        <v>0</v>
      </c>
      <c r="Z67" s="1678"/>
      <c r="AA67" s="1678"/>
      <c r="AB67" s="1678"/>
      <c r="AC67" s="1678"/>
      <c r="AD67" s="1242" t="str">
        <f>IF(OR(Application!D211="At-Risk",Application!D211="At-Risk/Located in Rural Census Tract",Application!D214="At-Risk"),ROUND(AD63*AD66,0),"$0")</f>
        <v>$0</v>
      </c>
      <c r="AE67" s="1242"/>
      <c r="AF67" s="1242"/>
      <c r="AG67" s="1242"/>
      <c r="AH67" s="124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75"/>
      <c r="AC70" s="1676"/>
      <c r="AD70" s="1676"/>
      <c r="AE70" s="1676"/>
      <c r="AF70" s="1677"/>
    </row>
    <row r="71" spans="1:34" ht="12.95" customHeight="1">
      <c r="A71" s="3"/>
      <c r="C71" s="3"/>
      <c r="D71" s="3"/>
      <c r="E71" s="1679" t="s">
        <v>1737</v>
      </c>
      <c r="F71" s="1679"/>
      <c r="G71" s="1679"/>
      <c r="H71" s="1679"/>
      <c r="I71" s="1679"/>
      <c r="J71" s="1679"/>
      <c r="K71" s="1679"/>
      <c r="L71" s="1679"/>
      <c r="M71" s="1679"/>
      <c r="N71" s="1679"/>
      <c r="O71" s="1679"/>
      <c r="P71" s="1679"/>
      <c r="Q71" s="1679"/>
      <c r="R71" s="1679"/>
      <c r="S71" s="1679"/>
      <c r="T71" s="1679"/>
      <c r="U71" s="1679"/>
      <c r="V71" s="1679"/>
      <c r="W71" s="1679"/>
      <c r="X71" s="1679"/>
      <c r="Y71" s="1679"/>
      <c r="Z71" s="1679"/>
      <c r="AA71" s="251"/>
      <c r="AB71" s="251"/>
      <c r="AC71" s="251"/>
    </row>
    <row r="72" spans="1:34" ht="12.95" customHeight="1">
      <c r="A72" s="3"/>
      <c r="C72" s="3"/>
      <c r="D72" s="3"/>
      <c r="E72" s="1679"/>
      <c r="F72" s="1679"/>
      <c r="G72" s="1679"/>
      <c r="H72" s="1679"/>
      <c r="I72" s="1679"/>
      <c r="J72" s="1679"/>
      <c r="K72" s="1679"/>
      <c r="L72" s="1679"/>
      <c r="M72" s="1679"/>
      <c r="N72" s="1679"/>
      <c r="O72" s="1679"/>
      <c r="P72" s="1679"/>
      <c r="Q72" s="1679"/>
      <c r="R72" s="1679"/>
      <c r="S72" s="1679"/>
      <c r="T72" s="1679"/>
      <c r="U72" s="1679"/>
      <c r="V72" s="1679"/>
      <c r="W72" s="1679"/>
      <c r="X72" s="1679"/>
      <c r="Y72" s="1679"/>
      <c r="Z72" s="1679"/>
      <c r="AA72" s="251"/>
      <c r="AB72" s="251"/>
      <c r="AC72" s="251"/>
    </row>
    <row r="73" spans="1:34" ht="12.95" customHeight="1">
      <c r="A73" s="3"/>
      <c r="C73" s="3"/>
      <c r="D73" s="3"/>
      <c r="E73" s="1679"/>
      <c r="F73" s="1679"/>
      <c r="G73" s="1679"/>
      <c r="H73" s="1679"/>
      <c r="I73" s="1679"/>
      <c r="J73" s="1679"/>
      <c r="K73" s="1679"/>
      <c r="L73" s="1679"/>
      <c r="M73" s="1679"/>
      <c r="N73" s="1679"/>
      <c r="O73" s="1679"/>
      <c r="P73" s="1679"/>
      <c r="Q73" s="1679"/>
      <c r="R73" s="1679"/>
      <c r="S73" s="1679"/>
      <c r="T73" s="1679"/>
      <c r="U73" s="1679"/>
      <c r="V73" s="1679"/>
      <c r="W73" s="1679"/>
      <c r="X73" s="1679"/>
      <c r="Y73" s="1679"/>
      <c r="Z73" s="167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54">
        <f>ROUND(IF(ISERROR((AB58/AB70)),0,(AB58/AB70)),0)</f>
        <v>0</v>
      </c>
      <c r="AC75" s="1554"/>
      <c r="AD75" s="1554"/>
      <c r="AE75" s="1554"/>
      <c r="AF75" s="1554"/>
    </row>
    <row r="76" spans="1:34" ht="12.95" customHeight="1">
      <c r="C76" s="3"/>
      <c r="D76" s="3" t="s">
        <v>105</v>
      </c>
      <c r="AB76" s="1599">
        <f>IF((Y67+AD67&lt;AB75),Y67+AD67,AB75)</f>
        <v>0</v>
      </c>
      <c r="AC76" s="1600"/>
      <c r="AD76" s="1600"/>
      <c r="AE76" s="1600"/>
      <c r="AF76" s="1601"/>
    </row>
    <row r="77" spans="1:34" ht="12.95" customHeight="1">
      <c r="C77" s="3"/>
      <c r="D77" s="3" t="s">
        <v>942</v>
      </c>
      <c r="AB77" s="1673">
        <f>AB76*AB70</f>
        <v>0</v>
      </c>
      <c r="AC77" s="1673"/>
      <c r="AD77" s="1673"/>
      <c r="AE77" s="1673"/>
      <c r="AF77" s="1673"/>
    </row>
    <row r="78" spans="1:34" ht="12.95" customHeight="1">
      <c r="C78" s="3"/>
      <c r="D78" s="3"/>
      <c r="AB78" s="595"/>
      <c r="AC78" s="595"/>
      <c r="AD78" s="595"/>
      <c r="AE78" s="595"/>
      <c r="AF78" s="595"/>
    </row>
    <row r="79" spans="1:34" ht="12.95" customHeight="1">
      <c r="D79" s="3" t="s">
        <v>106</v>
      </c>
      <c r="AB79" s="1127">
        <f>AB48-(AB56+AB77)</f>
        <v>30313987</v>
      </c>
      <c r="AC79" s="1127"/>
      <c r="AD79" s="1127"/>
      <c r="AE79" s="1127"/>
      <c r="AF79" s="1127"/>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69" t="s">
        <v>1353</v>
      </c>
      <c r="B1" s="1670"/>
      <c r="C1" s="1670"/>
      <c r="D1" s="1670"/>
      <c r="E1" s="1670"/>
      <c r="F1" s="1670"/>
      <c r="G1" s="1670"/>
      <c r="H1" s="1670"/>
      <c r="I1" s="1670"/>
      <c r="J1" s="1670"/>
      <c r="K1" s="1670"/>
      <c r="L1" s="1670"/>
      <c r="M1" s="1670"/>
      <c r="N1" s="1670"/>
      <c r="O1" s="1670"/>
      <c r="P1" s="1670"/>
      <c r="Q1" s="1670"/>
      <c r="R1" s="1670"/>
      <c r="S1" s="1670"/>
      <c r="T1" s="1670"/>
      <c r="U1" s="1670"/>
      <c r="V1" s="1670"/>
      <c r="W1" s="1670"/>
      <c r="X1" s="1670"/>
      <c r="Y1" s="1670"/>
      <c r="Z1" s="1670"/>
      <c r="AA1" s="1670"/>
      <c r="AB1" s="1670"/>
      <c r="AC1" s="1670"/>
      <c r="AD1" s="1670"/>
      <c r="AE1" s="1670"/>
      <c r="AF1" s="1670"/>
      <c r="AG1" s="1670"/>
      <c r="AH1" s="1670"/>
      <c r="AI1" s="1670"/>
      <c r="AJ1" s="1670"/>
      <c r="AK1" s="1670"/>
      <c r="AL1" s="1670"/>
      <c r="AM1" s="1670"/>
      <c r="AN1" s="1670"/>
    </row>
    <row r="2" spans="1:40" ht="12.95" customHeight="1" thickBot="1">
      <c r="A2" s="1671"/>
      <c r="B2" s="1671"/>
      <c r="C2" s="1671"/>
      <c r="D2" s="1671"/>
      <c r="E2" s="1671"/>
      <c r="F2" s="1671"/>
      <c r="G2" s="1671"/>
      <c r="H2" s="1671"/>
      <c r="I2" s="1671"/>
      <c r="J2" s="1671"/>
      <c r="K2" s="1671"/>
      <c r="L2" s="1671"/>
      <c r="M2" s="1671"/>
      <c r="N2" s="1671"/>
      <c r="O2" s="1671"/>
      <c r="P2" s="1671"/>
      <c r="Q2" s="1671"/>
      <c r="R2" s="1671"/>
      <c r="S2" s="1671"/>
      <c r="T2" s="1671"/>
      <c r="U2" s="1671"/>
      <c r="V2" s="1671"/>
      <c r="W2" s="1671"/>
      <c r="X2" s="1671"/>
      <c r="Y2" s="1671"/>
      <c r="Z2" s="1671"/>
      <c r="AA2" s="1671"/>
      <c r="AB2" s="1671"/>
      <c r="AC2" s="1671"/>
      <c r="AD2" s="1671"/>
      <c r="AE2" s="1671"/>
      <c r="AF2" s="1671"/>
      <c r="AG2" s="1671"/>
      <c r="AH2" s="1671"/>
      <c r="AI2" s="1671"/>
      <c r="AJ2" s="1671"/>
      <c r="AK2" s="1671"/>
      <c r="AL2" s="1671"/>
      <c r="AM2" s="1671"/>
      <c r="AN2" s="167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55" t="s">
        <v>1601</v>
      </c>
      <c r="U7" s="1655"/>
      <c r="V7" s="1655"/>
      <c r="W7" s="1655"/>
      <c r="X7" s="1655"/>
      <c r="Y7" s="1655" t="s">
        <v>1740</v>
      </c>
      <c r="Z7" s="1655"/>
      <c r="AA7" s="1655"/>
      <c r="AB7" s="1655"/>
      <c r="AC7" s="1655"/>
      <c r="AD7" s="1655" t="s">
        <v>1359</v>
      </c>
      <c r="AE7" s="1655"/>
      <c r="AF7" s="1655"/>
      <c r="AG7" s="1655"/>
      <c r="AH7" s="1655"/>
      <c r="AI7" s="1655" t="s">
        <v>1741</v>
      </c>
      <c r="AJ7" s="1655"/>
      <c r="AK7" s="1655"/>
      <c r="AL7" s="1655"/>
      <c r="AM7" s="1655"/>
    </row>
    <row r="8" spans="1:40" ht="12.95" customHeight="1">
      <c r="B8" s="202"/>
      <c r="T8" s="1655"/>
      <c r="U8" s="1655"/>
      <c r="V8" s="1655"/>
      <c r="W8" s="1655"/>
      <c r="X8" s="1655"/>
      <c r="Y8" s="1655"/>
      <c r="Z8" s="1655"/>
      <c r="AA8" s="1655"/>
      <c r="AB8" s="1655"/>
      <c r="AC8" s="1655"/>
      <c r="AD8" s="1655"/>
      <c r="AE8" s="1655"/>
      <c r="AF8" s="1655"/>
      <c r="AG8" s="1655"/>
      <c r="AH8" s="1655"/>
      <c r="AI8" s="1655"/>
      <c r="AJ8" s="1655"/>
      <c r="AK8" s="1655"/>
      <c r="AL8" s="1655"/>
      <c r="AM8" s="1655"/>
    </row>
    <row r="9" spans="1:40" ht="12.95" customHeight="1">
      <c r="B9" s="202"/>
      <c r="T9" s="1655"/>
      <c r="U9" s="1655"/>
      <c r="V9" s="1655"/>
      <c r="W9" s="1655"/>
      <c r="X9" s="1655"/>
      <c r="Y9" s="1655"/>
      <c r="Z9" s="1655"/>
      <c r="AA9" s="1655"/>
      <c r="AB9" s="1655"/>
      <c r="AC9" s="1655"/>
      <c r="AD9" s="1655"/>
      <c r="AE9" s="1655"/>
      <c r="AF9" s="1655"/>
      <c r="AG9" s="1655"/>
      <c r="AH9" s="1655"/>
      <c r="AI9" s="1655"/>
      <c r="AJ9" s="1655"/>
      <c r="AK9" s="1655"/>
      <c r="AL9" s="1655"/>
      <c r="AM9" s="1655"/>
    </row>
    <row r="10" spans="1:40" ht="40.5" customHeight="1">
      <c r="B10" s="53"/>
      <c r="C10" s="54"/>
      <c r="D10" s="54"/>
      <c r="E10" s="54"/>
      <c r="F10" s="54"/>
      <c r="G10" s="54"/>
      <c r="H10" s="54"/>
      <c r="I10" s="54"/>
      <c r="J10" s="54"/>
      <c r="K10" s="54"/>
      <c r="L10" s="54"/>
      <c r="M10" s="54"/>
      <c r="N10" s="54"/>
      <c r="O10" s="54"/>
      <c r="P10" s="54"/>
      <c r="Q10" s="54"/>
      <c r="R10" s="54"/>
      <c r="S10" s="54"/>
      <c r="T10" s="1655"/>
      <c r="U10" s="1655"/>
      <c r="V10" s="1655"/>
      <c r="W10" s="1655"/>
      <c r="X10" s="1655"/>
      <c r="Y10" s="1655"/>
      <c r="Z10" s="1655"/>
      <c r="AA10" s="1655"/>
      <c r="AB10" s="1655"/>
      <c r="AC10" s="1655"/>
      <c r="AD10" s="1655"/>
      <c r="AE10" s="1655"/>
      <c r="AF10" s="1655"/>
      <c r="AG10" s="1655"/>
      <c r="AH10" s="1655"/>
      <c r="AI10" s="1655"/>
      <c r="AJ10" s="1655"/>
      <c r="AK10" s="1655"/>
      <c r="AL10" s="1655"/>
      <c r="AM10" s="1655"/>
    </row>
    <row r="11" spans="1:40" ht="12.95" customHeight="1">
      <c r="B11" s="1225" t="s">
        <v>508</v>
      </c>
      <c r="C11" s="1226"/>
      <c r="D11" s="1226"/>
      <c r="E11" s="1226"/>
      <c r="F11" s="1226"/>
      <c r="G11" s="1226"/>
      <c r="H11" s="1226"/>
      <c r="I11" s="1226"/>
      <c r="J11" s="1226"/>
      <c r="K11" s="1226"/>
      <c r="L11" s="1226"/>
      <c r="M11" s="1226"/>
      <c r="N11" s="1226"/>
      <c r="O11" s="1226"/>
      <c r="P11" s="1226"/>
      <c r="Q11" s="1226"/>
      <c r="R11" s="1226"/>
      <c r="S11" s="1227"/>
      <c r="T11" s="1663">
        <f>IF('Sources and Basis Breakdown'!F105=0,'Sources and Basis Breakdown'!E105,'Sources and Basis Breakdown'!F105)</f>
        <v>25760985</v>
      </c>
      <c r="U11" s="1656"/>
      <c r="V11" s="1656"/>
      <c r="W11" s="1656"/>
      <c r="X11" s="1656"/>
      <c r="Y11" s="1672">
        <f>IF('Sources and Basis Breakdown'!G105+'Sources and Basis Breakdown'!F105='Sources and Basis Breakdown'!E105,'Sources and Basis Breakdown'!G105,0)</f>
        <v>0</v>
      </c>
      <c r="Z11" s="1656"/>
      <c r="AA11" s="1656"/>
      <c r="AB11" s="1656"/>
      <c r="AC11" s="1656"/>
      <c r="AD11" s="1656">
        <f>IF('Sources and Basis Breakdown'!I105=0,'Sources and Basis Breakdown'!H105,'Sources and Basis Breakdown'!I105)</f>
        <v>0</v>
      </c>
      <c r="AE11" s="1656"/>
      <c r="AF11" s="1656"/>
      <c r="AG11" s="1656"/>
      <c r="AH11" s="1656"/>
      <c r="AI11" s="1656">
        <f>IF('Sources and Basis Breakdown'!I105+'Sources and Basis Breakdown'!J105='Sources and Basis Breakdown'!H105,'Sources and Basis Breakdown'!J105,0)</f>
        <v>0</v>
      </c>
      <c r="AJ11" s="1656"/>
      <c r="AK11" s="1656"/>
      <c r="AL11" s="1656"/>
      <c r="AM11" s="1656"/>
    </row>
    <row r="12" spans="1:40" ht="12.95" customHeight="1">
      <c r="B12" s="1657" t="s">
        <v>447</v>
      </c>
      <c r="C12" s="1038"/>
      <c r="D12" s="1038"/>
      <c r="E12" s="1038"/>
      <c r="F12" s="1038"/>
      <c r="G12" s="1038"/>
      <c r="H12" s="1038"/>
      <c r="I12" s="1038"/>
      <c r="J12" s="1038"/>
      <c r="K12" s="1038"/>
      <c r="L12" s="1038"/>
      <c r="M12" s="1038"/>
      <c r="N12" s="1038"/>
      <c r="O12" s="1038"/>
      <c r="P12" s="1038"/>
      <c r="Q12" s="1038"/>
      <c r="R12" s="1038"/>
      <c r="S12" s="1658"/>
      <c r="T12" s="1666"/>
      <c r="U12" s="1667"/>
      <c r="V12" s="1667"/>
      <c r="W12" s="1667"/>
      <c r="X12" s="1668"/>
      <c r="Y12" s="1666"/>
      <c r="Z12" s="1667"/>
      <c r="AA12" s="1667"/>
      <c r="AB12" s="1667"/>
      <c r="AC12" s="1668"/>
      <c r="AD12" s="1666"/>
      <c r="AE12" s="1667"/>
      <c r="AF12" s="1667"/>
      <c r="AG12" s="1667"/>
      <c r="AH12" s="1668"/>
      <c r="AI12" s="1666"/>
      <c r="AJ12" s="1667"/>
      <c r="AK12" s="1667"/>
      <c r="AL12" s="1667"/>
      <c r="AM12" s="1668"/>
    </row>
    <row r="13" spans="1:40" ht="12.95" customHeight="1">
      <c r="B13" s="8"/>
      <c r="C13" s="1659" t="s">
        <v>1706</v>
      </c>
      <c r="D13" s="1660"/>
      <c r="E13" s="1660"/>
      <c r="F13" s="1660"/>
      <c r="G13" s="1660"/>
      <c r="H13" s="1660"/>
      <c r="I13" s="1660"/>
      <c r="J13" s="1660"/>
      <c r="K13" s="1660"/>
      <c r="L13" s="1660"/>
      <c r="M13" s="1660"/>
      <c r="N13" s="1660"/>
      <c r="O13" s="1660"/>
      <c r="P13" s="1660"/>
      <c r="Q13" s="1660"/>
      <c r="R13" s="1660"/>
      <c r="S13" s="1661"/>
      <c r="T13" s="1664">
        <f>'Basis &amp; Credits'!T13</f>
        <v>0</v>
      </c>
      <c r="U13" s="1665"/>
      <c r="V13" s="1665"/>
      <c r="W13" s="1665"/>
      <c r="X13" s="1665"/>
      <c r="Y13" s="1664">
        <f>'Basis &amp; Credits'!Y13</f>
        <v>0</v>
      </c>
      <c r="Z13" s="1665"/>
      <c r="AA13" s="1665"/>
      <c r="AB13" s="1665"/>
      <c r="AC13" s="1665"/>
      <c r="AD13" s="1665">
        <f>'Basis &amp; Credits'!AD13</f>
        <v>0</v>
      </c>
      <c r="AE13" s="1665"/>
      <c r="AF13" s="1665"/>
      <c r="AG13" s="1665"/>
      <c r="AH13" s="1665"/>
      <c r="AI13" s="1665">
        <f>'Basis &amp; Credits'!AI13</f>
        <v>0</v>
      </c>
      <c r="AJ13" s="1665"/>
      <c r="AK13" s="1665"/>
      <c r="AL13" s="1665"/>
      <c r="AM13" s="1665"/>
    </row>
    <row r="14" spans="1:40" ht="12.95" customHeight="1">
      <c r="B14" s="8"/>
      <c r="C14" s="1660" t="s">
        <v>768</v>
      </c>
      <c r="D14" s="1660"/>
      <c r="E14" s="1660"/>
      <c r="F14" s="1660"/>
      <c r="G14" s="1660"/>
      <c r="H14" s="1660"/>
      <c r="I14" s="1660"/>
      <c r="J14" s="1660"/>
      <c r="K14" s="1660"/>
      <c r="L14" s="1660"/>
      <c r="M14" s="1660"/>
      <c r="N14" s="1660"/>
      <c r="O14" s="1660"/>
      <c r="P14" s="1660"/>
      <c r="Q14" s="1660"/>
      <c r="R14" s="1660"/>
      <c r="S14" s="1661"/>
      <c r="T14" s="1248">
        <f>'Basis &amp; Credits'!T14</f>
        <v>0</v>
      </c>
      <c r="U14" s="1105"/>
      <c r="V14" s="1105"/>
      <c r="W14" s="1105"/>
      <c r="X14" s="1105"/>
      <c r="Y14" s="1248">
        <f>'Basis &amp; Credits'!Y14</f>
        <v>0</v>
      </c>
      <c r="Z14" s="1105"/>
      <c r="AA14" s="1105"/>
      <c r="AB14" s="1105"/>
      <c r="AC14" s="1105"/>
      <c r="AD14" s="1105">
        <f>'Basis &amp; Credits'!AD14</f>
        <v>0</v>
      </c>
      <c r="AE14" s="1105"/>
      <c r="AF14" s="1105"/>
      <c r="AG14" s="1105"/>
      <c r="AH14" s="1105"/>
      <c r="AI14" s="1105">
        <f>'Basis &amp; Credits'!AI14</f>
        <v>0</v>
      </c>
      <c r="AJ14" s="1105"/>
      <c r="AK14" s="1105"/>
      <c r="AL14" s="1105"/>
      <c r="AM14" s="1105"/>
    </row>
    <row r="15" spans="1:40" ht="12.95" customHeight="1">
      <c r="B15" s="8"/>
      <c r="C15" s="1660" t="s">
        <v>769</v>
      </c>
      <c r="D15" s="1660"/>
      <c r="E15" s="1660"/>
      <c r="F15" s="1660"/>
      <c r="G15" s="1660"/>
      <c r="H15" s="1660"/>
      <c r="I15" s="1660"/>
      <c r="J15" s="1660"/>
      <c r="K15" s="1660"/>
      <c r="L15" s="1660"/>
      <c r="M15" s="1660"/>
      <c r="N15" s="1660"/>
      <c r="O15" s="1660"/>
      <c r="P15" s="1660"/>
      <c r="Q15" s="1660"/>
      <c r="R15" s="1660"/>
      <c r="S15" s="1661"/>
      <c r="T15" s="1248">
        <f>'Basis &amp; Credits'!T15</f>
        <v>0</v>
      </c>
      <c r="U15" s="1105"/>
      <c r="V15" s="1105"/>
      <c r="W15" s="1105"/>
      <c r="X15" s="1105"/>
      <c r="Y15" s="1248">
        <f>'Basis &amp; Credits'!Y15</f>
        <v>0</v>
      </c>
      <c r="Z15" s="1105"/>
      <c r="AA15" s="1105"/>
      <c r="AB15" s="1105"/>
      <c r="AC15" s="1105"/>
      <c r="AD15" s="1105">
        <f>'Basis &amp; Credits'!AD15</f>
        <v>0</v>
      </c>
      <c r="AE15" s="1105"/>
      <c r="AF15" s="1105"/>
      <c r="AG15" s="1105"/>
      <c r="AH15" s="1105"/>
      <c r="AI15" s="1105">
        <f>'Basis &amp; Credits'!AI15</f>
        <v>0</v>
      </c>
      <c r="AJ15" s="1105"/>
      <c r="AK15" s="1105"/>
      <c r="AL15" s="1105"/>
      <c r="AM15" s="1105"/>
    </row>
    <row r="16" spans="1:40" ht="12.95" customHeight="1">
      <c r="B16" s="8"/>
      <c r="C16" s="1659" t="s">
        <v>1012</v>
      </c>
      <c r="D16" s="1659"/>
      <c r="E16" s="1659"/>
      <c r="F16" s="1659"/>
      <c r="G16" s="1659"/>
      <c r="H16" s="1659"/>
      <c r="I16" s="1659"/>
      <c r="J16" s="1659"/>
      <c r="K16" s="1659"/>
      <c r="L16" s="1659"/>
      <c r="M16" s="1659"/>
      <c r="N16" s="1659"/>
      <c r="O16" s="1659"/>
      <c r="P16" s="1659"/>
      <c r="Q16" s="1659"/>
      <c r="R16" s="1659"/>
      <c r="S16" s="1662"/>
      <c r="T16" s="1248">
        <f>'Basis &amp; Credits'!T16</f>
        <v>0</v>
      </c>
      <c r="U16" s="1105"/>
      <c r="V16" s="1105"/>
      <c r="W16" s="1105"/>
      <c r="X16" s="1105"/>
      <c r="Y16" s="1248">
        <f>'Basis &amp; Credits'!Y16</f>
        <v>0</v>
      </c>
      <c r="Z16" s="1105"/>
      <c r="AA16" s="1105"/>
      <c r="AB16" s="1105"/>
      <c r="AC16" s="1105"/>
      <c r="AD16" s="1105">
        <f>'Basis &amp; Credits'!AD16</f>
        <v>0</v>
      </c>
      <c r="AE16" s="1105"/>
      <c r="AF16" s="1105"/>
      <c r="AG16" s="1105"/>
      <c r="AH16" s="1105"/>
      <c r="AI16" s="1105">
        <f>'Basis &amp; Credits'!AI16</f>
        <v>0</v>
      </c>
      <c r="AJ16" s="1105"/>
      <c r="AK16" s="1105"/>
      <c r="AL16" s="1105"/>
      <c r="AM16" s="1105"/>
    </row>
    <row r="17" spans="1:39" ht="12.95" customHeight="1">
      <c r="B17" s="8"/>
      <c r="C17" s="1660" t="s">
        <v>770</v>
      </c>
      <c r="D17" s="1660"/>
      <c r="E17" s="1660"/>
      <c r="F17" s="1660"/>
      <c r="G17" s="1660"/>
      <c r="H17" s="1660"/>
      <c r="I17" s="1660"/>
      <c r="J17" s="1660"/>
      <c r="K17" s="1660"/>
      <c r="L17" s="1660"/>
      <c r="M17" s="1660"/>
      <c r="N17" s="1660"/>
      <c r="O17" s="1660"/>
      <c r="P17" s="1660"/>
      <c r="Q17" s="1660"/>
      <c r="R17" s="1660"/>
      <c r="S17" s="1661"/>
      <c r="T17" s="1248">
        <f>'Basis &amp; Credits'!T17</f>
        <v>0</v>
      </c>
      <c r="U17" s="1105"/>
      <c r="V17" s="1105"/>
      <c r="W17" s="1105"/>
      <c r="X17" s="1105"/>
      <c r="Y17" s="1248">
        <f>'Basis &amp; Credits'!Y17</f>
        <v>0</v>
      </c>
      <c r="Z17" s="1105"/>
      <c r="AA17" s="1105"/>
      <c r="AB17" s="1105"/>
      <c r="AC17" s="1105"/>
      <c r="AD17" s="1105">
        <f>'Basis &amp; Credits'!AD17</f>
        <v>0</v>
      </c>
      <c r="AE17" s="1105"/>
      <c r="AF17" s="1105"/>
      <c r="AG17" s="1105"/>
      <c r="AH17" s="1105"/>
      <c r="AI17" s="1105">
        <f>'Basis &amp; Credits'!AI17</f>
        <v>0</v>
      </c>
      <c r="AJ17" s="1105"/>
      <c r="AK17" s="1105"/>
      <c r="AL17" s="1105"/>
      <c r="AM17" s="1105"/>
    </row>
    <row r="18" spans="1:39" ht="12.95" customHeight="1">
      <c r="B18" s="590"/>
      <c r="C18" s="1659" t="s">
        <v>1363</v>
      </c>
      <c r="D18" s="1660"/>
      <c r="E18" s="1660"/>
      <c r="F18" s="1660"/>
      <c r="G18" s="1660"/>
      <c r="H18" s="1660"/>
      <c r="I18" s="1660"/>
      <c r="J18" s="1660"/>
      <c r="K18" s="1660"/>
      <c r="L18" s="1660"/>
      <c r="M18" s="1660"/>
      <c r="N18" s="1660"/>
      <c r="O18" s="1660"/>
      <c r="P18" s="1660"/>
      <c r="Q18" s="1660"/>
      <c r="R18" s="1660"/>
      <c r="S18" s="1661"/>
      <c r="T18" s="1246">
        <f>'Basis &amp; Credits'!T18</f>
        <v>0</v>
      </c>
      <c r="U18" s="1247"/>
      <c r="V18" s="1247"/>
      <c r="W18" s="1247"/>
      <c r="X18" s="1248"/>
      <c r="Y18" s="1248">
        <f>'Basis &amp; Credits'!Y18</f>
        <v>0</v>
      </c>
      <c r="Z18" s="1105"/>
      <c r="AA18" s="1105"/>
      <c r="AB18" s="1105"/>
      <c r="AC18" s="1105"/>
      <c r="AD18" s="1105">
        <f>'Basis &amp; Credits'!AD18</f>
        <v>0</v>
      </c>
      <c r="AE18" s="1105"/>
      <c r="AF18" s="1105"/>
      <c r="AG18" s="1105"/>
      <c r="AH18" s="1105"/>
      <c r="AI18" s="1105">
        <f>'Basis &amp; Credits'!AI18</f>
        <v>0</v>
      </c>
      <c r="AJ18" s="1105"/>
      <c r="AK18" s="1105"/>
      <c r="AL18" s="1105"/>
      <c r="AM18" s="1105"/>
    </row>
    <row r="19" spans="1:39" ht="12.95" customHeight="1">
      <c r="B19" s="481"/>
      <c r="C19" s="1636" t="str">
        <f>'Basis &amp; Credits'!C19:S19</f>
        <v>Subtract (specify other ineligible amounts):</v>
      </c>
      <c r="D19" s="1636"/>
      <c r="E19" s="1636"/>
      <c r="F19" s="1636"/>
      <c r="G19" s="1636"/>
      <c r="H19" s="1636"/>
      <c r="I19" s="1636"/>
      <c r="J19" s="1636"/>
      <c r="K19" s="1636"/>
      <c r="L19" s="1636"/>
      <c r="M19" s="1636"/>
      <c r="N19" s="1636"/>
      <c r="O19" s="1636"/>
      <c r="P19" s="1636"/>
      <c r="Q19" s="1636"/>
      <c r="R19" s="1636"/>
      <c r="S19" s="1637"/>
      <c r="T19" s="1248">
        <f>'Basis &amp; Credits'!T19</f>
        <v>0</v>
      </c>
      <c r="U19" s="1105"/>
      <c r="V19" s="1105"/>
      <c r="W19" s="1105"/>
      <c r="X19" s="1105"/>
      <c r="Y19" s="1248">
        <f>'Basis &amp; Credits'!Y19</f>
        <v>0</v>
      </c>
      <c r="Z19" s="1105"/>
      <c r="AA19" s="1105"/>
      <c r="AB19" s="1105"/>
      <c r="AC19" s="1105"/>
      <c r="AD19" s="1105">
        <f>'Basis &amp; Credits'!AD19</f>
        <v>0</v>
      </c>
      <c r="AE19" s="1105"/>
      <c r="AF19" s="1105"/>
      <c r="AG19" s="1105"/>
      <c r="AH19" s="1105"/>
      <c r="AI19" s="1105">
        <f>'Basis &amp; Credits'!AI19</f>
        <v>0</v>
      </c>
      <c r="AJ19" s="1105"/>
      <c r="AK19" s="1105"/>
      <c r="AL19" s="1105"/>
      <c r="AM19" s="1105"/>
    </row>
    <row r="20" spans="1:39" ht="12.95" customHeight="1">
      <c r="B20" s="1225" t="s">
        <v>771</v>
      </c>
      <c r="C20" s="1226"/>
      <c r="D20" s="1226"/>
      <c r="E20" s="1226"/>
      <c r="F20" s="1226"/>
      <c r="G20" s="1226"/>
      <c r="H20" s="1226"/>
      <c r="I20" s="1226"/>
      <c r="J20" s="1226"/>
      <c r="K20" s="1226"/>
      <c r="L20" s="1226"/>
      <c r="M20" s="1226"/>
      <c r="N20" s="1226"/>
      <c r="O20" s="1226"/>
      <c r="P20" s="1226"/>
      <c r="Q20" s="1226"/>
      <c r="R20" s="1226"/>
      <c r="S20" s="1227"/>
      <c r="T20" s="1648">
        <f>SUM(T13:X19)</f>
        <v>0</v>
      </c>
      <c r="U20" s="1242"/>
      <c r="V20" s="1242"/>
      <c r="W20" s="1242"/>
      <c r="X20" s="1242"/>
      <c r="Y20" s="1648">
        <f>SUM(Y13:AC19)</f>
        <v>0</v>
      </c>
      <c r="Z20" s="1242"/>
      <c r="AA20" s="1242"/>
      <c r="AB20" s="1242"/>
      <c r="AC20" s="1242"/>
      <c r="AD20" s="1242">
        <f>SUM(AD13:AH19)</f>
        <v>0</v>
      </c>
      <c r="AE20" s="1242"/>
      <c r="AF20" s="1242"/>
      <c r="AG20" s="1242"/>
      <c r="AH20" s="1242"/>
      <c r="AI20" s="1242">
        <f>SUM(AI13:AM19)</f>
        <v>0</v>
      </c>
      <c r="AJ20" s="1242"/>
      <c r="AK20" s="1242"/>
      <c r="AL20" s="1242"/>
      <c r="AM20" s="1242"/>
    </row>
    <row r="21" spans="1:39" ht="12.95" customHeight="1">
      <c r="B21" s="1225" t="s">
        <v>1705</v>
      </c>
      <c r="C21" s="1226"/>
      <c r="D21" s="1226"/>
      <c r="E21" s="1226"/>
      <c r="F21" s="1226"/>
      <c r="G21" s="1226"/>
      <c r="H21" s="1226"/>
      <c r="I21" s="1226"/>
      <c r="J21" s="1226"/>
      <c r="K21" s="1226"/>
      <c r="L21" s="1226"/>
      <c r="M21" s="1226"/>
      <c r="N21" s="1226"/>
      <c r="O21" s="1226"/>
      <c r="P21" s="1226"/>
      <c r="Q21" s="1226"/>
      <c r="R21" s="1226"/>
      <c r="S21" s="1227"/>
      <c r="T21" s="1248">
        <f>'Basis &amp; Credits'!T21</f>
        <v>4999996</v>
      </c>
      <c r="U21" s="1105"/>
      <c r="V21" s="1105"/>
      <c r="W21" s="1105"/>
      <c r="X21" s="1105"/>
      <c r="Y21" s="1248">
        <f>'Basis &amp; Credits'!Y21</f>
        <v>0</v>
      </c>
      <c r="Z21" s="1105"/>
      <c r="AA21" s="1105"/>
      <c r="AB21" s="1105"/>
      <c r="AC21" s="1105"/>
      <c r="AD21" s="1105">
        <f>'Basis &amp; Credits'!AD21</f>
        <v>0</v>
      </c>
      <c r="AE21" s="1105"/>
      <c r="AF21" s="1105"/>
      <c r="AG21" s="1105"/>
      <c r="AH21" s="1105"/>
      <c r="AI21" s="1105">
        <f>'Basis &amp; Credits'!AI21</f>
        <v>0</v>
      </c>
      <c r="AJ21" s="1105"/>
      <c r="AK21" s="1105"/>
      <c r="AL21" s="1105"/>
      <c r="AM21" s="1105"/>
    </row>
    <row r="22" spans="1:39" ht="12.95" customHeight="1">
      <c r="B22" s="1225" t="s">
        <v>772</v>
      </c>
      <c r="C22" s="1226"/>
      <c r="D22" s="1226"/>
      <c r="E22" s="1226"/>
      <c r="F22" s="1226"/>
      <c r="G22" s="1226"/>
      <c r="H22" s="1226"/>
      <c r="I22" s="1226"/>
      <c r="J22" s="1226"/>
      <c r="K22" s="1226"/>
      <c r="L22" s="1226"/>
      <c r="M22" s="1226"/>
      <c r="N22" s="1226"/>
      <c r="O22" s="1226"/>
      <c r="P22" s="1226"/>
      <c r="Q22" s="1226"/>
      <c r="R22" s="1226"/>
      <c r="S22" s="1227"/>
      <c r="T22" s="1649">
        <f>(T20+T21)*-1</f>
        <v>-4999996</v>
      </c>
      <c r="U22" s="1650"/>
      <c r="V22" s="1650"/>
      <c r="W22" s="1650"/>
      <c r="X22" s="1650"/>
      <c r="Y22" s="1649">
        <f>(Y20+Y21)*-1</f>
        <v>0</v>
      </c>
      <c r="Z22" s="1650"/>
      <c r="AA22" s="1650"/>
      <c r="AB22" s="1650"/>
      <c r="AC22" s="1650"/>
      <c r="AD22" s="1649">
        <f>(AD20+AD21)*-1</f>
        <v>0</v>
      </c>
      <c r="AE22" s="1650"/>
      <c r="AF22" s="1650"/>
      <c r="AG22" s="1650"/>
      <c r="AH22" s="1650"/>
      <c r="AI22" s="1649">
        <f>(AI20+AI21)*-1</f>
        <v>0</v>
      </c>
      <c r="AJ22" s="1650"/>
      <c r="AK22" s="1650"/>
      <c r="AL22" s="1650"/>
      <c r="AM22" s="1650"/>
    </row>
    <row r="23" spans="1:39" ht="12.95" customHeight="1">
      <c r="B23" s="1225" t="s">
        <v>773</v>
      </c>
      <c r="C23" s="1226"/>
      <c r="D23" s="1226"/>
      <c r="E23" s="1226"/>
      <c r="F23" s="1226"/>
      <c r="G23" s="1226"/>
      <c r="H23" s="1226"/>
      <c r="I23" s="1226"/>
      <c r="J23" s="1226"/>
      <c r="K23" s="1226"/>
      <c r="L23" s="1226"/>
      <c r="M23" s="1226"/>
      <c r="N23" s="1226"/>
      <c r="O23" s="1226"/>
      <c r="P23" s="1226"/>
      <c r="Q23" s="1226"/>
      <c r="R23" s="1226"/>
      <c r="S23" s="1227"/>
      <c r="T23" s="1648">
        <f>T11+T22</f>
        <v>20760989</v>
      </c>
      <c r="U23" s="1242"/>
      <c r="V23" s="1242"/>
      <c r="W23" s="1242"/>
      <c r="X23" s="1242"/>
      <c r="Y23" s="1648">
        <f>Y11+Y22</f>
        <v>0</v>
      </c>
      <c r="Z23" s="1242"/>
      <c r="AA23" s="1242"/>
      <c r="AB23" s="1242"/>
      <c r="AC23" s="1242"/>
      <c r="AD23" s="1648">
        <f>AD11+AD22</f>
        <v>0</v>
      </c>
      <c r="AE23" s="1242"/>
      <c r="AF23" s="1242"/>
      <c r="AG23" s="1242"/>
      <c r="AH23" s="1242"/>
      <c r="AI23" s="1648">
        <f>AI11+AI22</f>
        <v>0</v>
      </c>
      <c r="AJ23" s="1242"/>
      <c r="AK23" s="1242"/>
      <c r="AL23" s="1242"/>
      <c r="AM23" s="1242"/>
    </row>
    <row r="24" spans="1:39" ht="12.95" customHeight="1">
      <c r="B24" s="1225" t="s">
        <v>1218</v>
      </c>
      <c r="C24" s="1226"/>
      <c r="D24" s="1226"/>
      <c r="E24" s="1226"/>
      <c r="F24" s="1226"/>
      <c r="G24" s="1226"/>
      <c r="H24" s="1226"/>
      <c r="I24" s="1226"/>
      <c r="J24" s="1226"/>
      <c r="K24" s="1226"/>
      <c r="L24" s="1226"/>
      <c r="M24" s="1226"/>
      <c r="N24" s="1226"/>
      <c r="O24" s="1226"/>
      <c r="P24" s="1226"/>
      <c r="Q24" s="1226"/>
      <c r="R24" s="1226"/>
      <c r="S24" s="1227"/>
      <c r="T24" s="1646">
        <f>Application!AD1019</f>
        <v>0</v>
      </c>
      <c r="U24" s="1647"/>
      <c r="V24" s="1647"/>
      <c r="W24" s="1647"/>
      <c r="X24" s="1647"/>
      <c r="Y24" s="1647"/>
      <c r="Z24" s="1647"/>
      <c r="AA24" s="1647"/>
      <c r="AB24" s="1647"/>
      <c r="AC24" s="1647"/>
      <c r="AD24" s="1647"/>
      <c r="AE24" s="1647"/>
      <c r="AF24" s="1647"/>
      <c r="AG24" s="1647"/>
      <c r="AH24" s="1647"/>
      <c r="AI24" s="1647"/>
      <c r="AJ24" s="1647"/>
      <c r="AK24" s="1647"/>
      <c r="AL24" s="1647"/>
      <c r="AM24" s="1648"/>
    </row>
    <row r="25" spans="1:39" ht="12.95" customHeight="1">
      <c r="B25" s="1638" t="s">
        <v>1739</v>
      </c>
      <c r="C25" s="1639"/>
      <c r="D25" s="1639"/>
      <c r="E25" s="1639"/>
      <c r="F25" s="1639"/>
      <c r="G25" s="1639"/>
      <c r="H25" s="1639"/>
      <c r="I25" s="1639"/>
      <c r="J25" s="1639"/>
      <c r="K25" s="1639"/>
      <c r="L25" s="1639"/>
      <c r="M25" s="1639"/>
      <c r="N25" s="1639"/>
      <c r="O25" s="1639"/>
      <c r="P25" s="1639"/>
      <c r="Q25" s="1639"/>
      <c r="R25" s="1639"/>
      <c r="S25" s="1640"/>
      <c r="T25" s="1652">
        <v>1</v>
      </c>
      <c r="U25" s="1653"/>
      <c r="V25" s="1653"/>
      <c r="W25" s="1653"/>
      <c r="X25" s="1653"/>
      <c r="Y25" s="1652">
        <v>1</v>
      </c>
      <c r="Z25" s="1653"/>
      <c r="AA25" s="1653"/>
      <c r="AB25" s="1653"/>
      <c r="AC25" s="1654"/>
      <c r="AD25" s="1652">
        <v>1</v>
      </c>
      <c r="AE25" s="1653"/>
      <c r="AF25" s="1653"/>
      <c r="AG25" s="1653"/>
      <c r="AH25" s="1654"/>
      <c r="AI25" s="1652">
        <v>1</v>
      </c>
      <c r="AJ25" s="1653"/>
      <c r="AK25" s="1653"/>
      <c r="AL25" s="1653"/>
      <c r="AM25" s="1654"/>
    </row>
    <row r="26" spans="1:39" ht="12.95" customHeight="1">
      <c r="B26" s="1225" t="s">
        <v>774</v>
      </c>
      <c r="C26" s="1226"/>
      <c r="D26" s="1226"/>
      <c r="E26" s="1226"/>
      <c r="F26" s="1226"/>
      <c r="G26" s="1226"/>
      <c r="H26" s="1226"/>
      <c r="I26" s="1226"/>
      <c r="J26" s="1226"/>
      <c r="K26" s="1226"/>
      <c r="L26" s="1226"/>
      <c r="M26" s="1226"/>
      <c r="N26" s="1226"/>
      <c r="O26" s="1226"/>
      <c r="P26" s="1226"/>
      <c r="Q26" s="1226"/>
      <c r="R26" s="1226"/>
      <c r="S26" s="1227"/>
      <c r="T26" s="1180">
        <f>T23*T25</f>
        <v>20760989</v>
      </c>
      <c r="U26" s="1651"/>
      <c r="V26" s="1651"/>
      <c r="W26" s="1651"/>
      <c r="X26" s="1651"/>
      <c r="Y26" s="1180">
        <f>Y23*Y25</f>
        <v>0</v>
      </c>
      <c r="Z26" s="1651"/>
      <c r="AA26" s="1651"/>
      <c r="AB26" s="1651"/>
      <c r="AC26" s="1651"/>
      <c r="AD26" s="1180">
        <f>AD23*AD25</f>
        <v>0</v>
      </c>
      <c r="AE26" s="1651"/>
      <c r="AF26" s="1651"/>
      <c r="AG26" s="1651"/>
      <c r="AH26" s="1651"/>
      <c r="AI26" s="1180">
        <f>AI23*AI25</f>
        <v>0</v>
      </c>
      <c r="AJ26" s="1651"/>
      <c r="AK26" s="1651"/>
      <c r="AL26" s="1651"/>
      <c r="AM26" s="1651"/>
    </row>
    <row r="27" spans="1:39" ht="12.95" customHeight="1">
      <c r="A27" s="4"/>
      <c r="B27" s="1641" t="s">
        <v>879</v>
      </c>
      <c r="C27" s="1642"/>
      <c r="D27" s="1642"/>
      <c r="E27" s="1642"/>
      <c r="F27" s="1642"/>
      <c r="G27" s="1642"/>
      <c r="H27" s="1642"/>
      <c r="I27" s="1642"/>
      <c r="J27" s="1642"/>
      <c r="K27" s="1642"/>
      <c r="L27" s="1642"/>
      <c r="M27" s="1642"/>
      <c r="N27" s="1642"/>
      <c r="O27" s="1642"/>
      <c r="P27" s="1642"/>
      <c r="Q27" s="1642"/>
      <c r="R27" s="1642"/>
      <c r="S27" s="1643"/>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5" customHeight="1">
      <c r="A28" s="3"/>
      <c r="B28" s="1225" t="s">
        <v>843</v>
      </c>
      <c r="C28" s="1226"/>
      <c r="D28" s="1226"/>
      <c r="E28" s="1226"/>
      <c r="F28" s="1226"/>
      <c r="G28" s="1226"/>
      <c r="H28" s="1226"/>
      <c r="I28" s="1226"/>
      <c r="J28" s="1226"/>
      <c r="K28" s="1226"/>
      <c r="L28" s="1226"/>
      <c r="M28" s="1226"/>
      <c r="N28" s="1226"/>
      <c r="O28" s="1226"/>
      <c r="P28" s="1226"/>
      <c r="Q28" s="1226"/>
      <c r="R28" s="1226"/>
      <c r="S28" s="1227"/>
      <c r="T28" s="1180">
        <f>IF(ISERROR((T26*T27)),0,(T26*T27))</f>
        <v>20760989</v>
      </c>
      <c r="U28" s="1651"/>
      <c r="V28" s="1651"/>
      <c r="W28" s="1651"/>
      <c r="X28" s="1651"/>
      <c r="Y28" s="1180">
        <f>IF(ISERROR((Y26*Y27)),0,(Y26*Y27))</f>
        <v>0</v>
      </c>
      <c r="Z28" s="1651"/>
      <c r="AA28" s="1651"/>
      <c r="AB28" s="1651"/>
      <c r="AC28" s="1651"/>
      <c r="AD28" s="1180">
        <f>IF(ISERROR((AD26*AD27)),0,(AD26*AD27))</f>
        <v>0</v>
      </c>
      <c r="AE28" s="1651"/>
      <c r="AF28" s="1651"/>
      <c r="AG28" s="1651"/>
      <c r="AH28" s="1651"/>
      <c r="AI28" s="1180">
        <f>IF(ISERROR((AI26*AI27)),0,(AI26*AI27))</f>
        <v>0</v>
      </c>
      <c r="AJ28" s="1651"/>
      <c r="AK28" s="1651"/>
      <c r="AL28" s="1651"/>
      <c r="AM28" s="1651"/>
    </row>
    <row r="29" spans="1:39" ht="12.95" customHeight="1">
      <c r="B29" s="1225" t="s">
        <v>623</v>
      </c>
      <c r="C29" s="1226"/>
      <c r="D29" s="1226"/>
      <c r="E29" s="1226"/>
      <c r="F29" s="1226"/>
      <c r="G29" s="1226"/>
      <c r="H29" s="1226"/>
      <c r="I29" s="1226"/>
      <c r="J29" s="1226"/>
      <c r="K29" s="1226"/>
      <c r="L29" s="1226"/>
      <c r="M29" s="1226"/>
      <c r="N29" s="1226"/>
      <c r="O29" s="1226"/>
      <c r="P29" s="1226"/>
      <c r="Q29" s="1226"/>
      <c r="R29" s="1226"/>
      <c r="S29" s="1227"/>
      <c r="T29" s="1646">
        <f>T28+Y28+AD28+AI28</f>
        <v>20760989</v>
      </c>
      <c r="U29" s="1647"/>
      <c r="V29" s="1647"/>
      <c r="W29" s="1647"/>
      <c r="X29" s="1647"/>
      <c r="Y29" s="1647"/>
      <c r="Z29" s="1647"/>
      <c r="AA29" s="1647"/>
      <c r="AB29" s="1647"/>
      <c r="AC29" s="1647"/>
      <c r="AD29" s="1647"/>
      <c r="AE29" s="1647"/>
      <c r="AF29" s="1647"/>
      <c r="AG29" s="1647"/>
      <c r="AH29" s="1647"/>
      <c r="AI29" s="1647"/>
      <c r="AJ29" s="1647"/>
      <c r="AK29" s="1647"/>
      <c r="AL29" s="1647"/>
      <c r="AM29" s="1648"/>
    </row>
    <row r="30" spans="1:39" ht="12.95" customHeight="1">
      <c r="B30" s="2011"/>
      <c r="C30" s="2011"/>
      <c r="D30" s="2011"/>
      <c r="E30" s="2011"/>
      <c r="F30" s="2011"/>
      <c r="G30" s="2011"/>
      <c r="H30" s="2011"/>
      <c r="I30" s="2011"/>
      <c r="J30" s="2011"/>
      <c r="K30" s="2011"/>
      <c r="L30" s="2011"/>
      <c r="M30" s="2011"/>
      <c r="N30" s="2011"/>
      <c r="O30" s="2011"/>
      <c r="P30" s="2011"/>
      <c r="Q30" s="2011"/>
      <c r="R30" s="2011"/>
      <c r="S30" s="2011"/>
      <c r="T30" s="2011"/>
      <c r="U30" s="2011"/>
      <c r="V30" s="2011"/>
      <c r="W30" s="2011"/>
      <c r="X30" s="2011"/>
      <c r="Y30" s="2011"/>
      <c r="Z30" s="2011"/>
      <c r="AA30" s="2011"/>
      <c r="AB30" s="2011"/>
      <c r="AC30" s="2011"/>
      <c r="AD30" s="2011"/>
      <c r="AE30" s="2011"/>
      <c r="AF30" s="2011"/>
      <c r="AG30" s="2011"/>
      <c r="AH30" s="2011"/>
      <c r="AI30" s="2011"/>
      <c r="AJ30" s="2011"/>
      <c r="AK30" s="2011"/>
      <c r="AL30" s="2011"/>
      <c r="AM30" s="2011"/>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55" t="s">
        <v>1600</v>
      </c>
      <c r="Z35" s="1655"/>
      <c r="AA35" s="1655"/>
      <c r="AB35" s="1655"/>
      <c r="AC35" s="1655"/>
      <c r="AD35" s="1532" t="s">
        <v>41</v>
      </c>
      <c r="AE35" s="1532"/>
      <c r="AF35" s="1532"/>
      <c r="AG35" s="1532"/>
      <c r="AH35" s="1532"/>
    </row>
    <row r="36" spans="1:40" ht="12.95" customHeight="1">
      <c r="B36" s="202"/>
      <c r="X36" s="71"/>
      <c r="Y36" s="1655"/>
      <c r="Z36" s="1655"/>
      <c r="AA36" s="1655"/>
      <c r="AB36" s="1655"/>
      <c r="AC36" s="1655"/>
      <c r="AD36" s="1532"/>
      <c r="AE36" s="1532"/>
      <c r="AF36" s="1532"/>
      <c r="AG36" s="1532"/>
      <c r="AH36" s="153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55"/>
      <c r="Z37" s="1655"/>
      <c r="AA37" s="1655"/>
      <c r="AB37" s="1655"/>
      <c r="AC37" s="1655"/>
      <c r="AD37" s="1532"/>
      <c r="AE37" s="1532"/>
      <c r="AF37" s="1532"/>
      <c r="AG37" s="1532"/>
      <c r="AH37" s="1532"/>
    </row>
    <row r="38" spans="1:40" ht="12.95" customHeight="1">
      <c r="A38" s="3"/>
      <c r="B38" s="1225" t="s">
        <v>843</v>
      </c>
      <c r="C38" s="1226"/>
      <c r="D38" s="1226"/>
      <c r="E38" s="1226"/>
      <c r="F38" s="1226"/>
      <c r="G38" s="1226"/>
      <c r="H38" s="1226"/>
      <c r="I38" s="1226"/>
      <c r="J38" s="1226"/>
      <c r="K38" s="1226"/>
      <c r="L38" s="1226"/>
      <c r="M38" s="1226"/>
      <c r="N38" s="1226"/>
      <c r="O38" s="1226"/>
      <c r="P38" s="1226"/>
      <c r="Q38" s="1226"/>
      <c r="R38" s="1226"/>
      <c r="S38" s="1226"/>
      <c r="T38" s="1226"/>
      <c r="U38" s="1226"/>
      <c r="V38" s="1226"/>
      <c r="W38" s="1226"/>
      <c r="X38" s="1227"/>
      <c r="Y38" s="1242">
        <f>IF(T24&gt;=(T23+Y23+AD23+AI23),T28+Y28,0)</f>
        <v>0</v>
      </c>
      <c r="Z38" s="1242"/>
      <c r="AA38" s="1242"/>
      <c r="AB38" s="1242"/>
      <c r="AC38" s="1242"/>
      <c r="AD38" s="1242">
        <f>IF(T24&gt;=(T23+Y23+AD23+AI23),AD28+AI28,0)</f>
        <v>0</v>
      </c>
      <c r="AE38" s="1242"/>
      <c r="AF38" s="1242"/>
      <c r="AG38" s="1242"/>
      <c r="AH38" s="1242"/>
    </row>
    <row r="39" spans="1:40" ht="12.95" customHeight="1">
      <c r="B39" s="1225" t="s">
        <v>765</v>
      </c>
      <c r="C39" s="1226"/>
      <c r="D39" s="1226"/>
      <c r="E39" s="1226"/>
      <c r="F39" s="1226"/>
      <c r="G39" s="1226"/>
      <c r="H39" s="1226"/>
      <c r="I39" s="1226"/>
      <c r="J39" s="1226"/>
      <c r="K39" s="1226"/>
      <c r="L39" s="1226"/>
      <c r="M39" s="1226"/>
      <c r="N39" s="1226"/>
      <c r="O39" s="1226"/>
      <c r="P39" s="1226"/>
      <c r="Q39" s="1226"/>
      <c r="R39" s="1226"/>
      <c r="S39" s="1226"/>
      <c r="T39" s="1226"/>
      <c r="U39" s="1226"/>
      <c r="V39" s="1226"/>
      <c r="W39" s="1226"/>
      <c r="X39" s="1227"/>
      <c r="Y39" s="2010">
        <v>0.09</v>
      </c>
      <c r="Z39" s="2010"/>
      <c r="AA39" s="2010"/>
      <c r="AB39" s="2010"/>
      <c r="AC39" s="2010"/>
      <c r="AD39" s="2010">
        <f>'Basis &amp; Credits'!AD39:AH39</f>
        <v>0.04</v>
      </c>
      <c r="AE39" s="2010"/>
      <c r="AF39" s="2010"/>
      <c r="AG39" s="2010"/>
      <c r="AH39" s="2010"/>
    </row>
    <row r="40" spans="1:40" ht="12.95" customHeight="1">
      <c r="A40" s="3"/>
      <c r="B40" s="1225" t="s">
        <v>23</v>
      </c>
      <c r="C40" s="1226"/>
      <c r="D40" s="1226"/>
      <c r="E40" s="1226"/>
      <c r="F40" s="1226"/>
      <c r="G40" s="1226"/>
      <c r="H40" s="1226"/>
      <c r="I40" s="1226"/>
      <c r="J40" s="1226"/>
      <c r="K40" s="1226"/>
      <c r="L40" s="1226"/>
      <c r="M40" s="1226"/>
      <c r="N40" s="1226"/>
      <c r="O40" s="1226"/>
      <c r="P40" s="1226"/>
      <c r="Q40" s="1226"/>
      <c r="R40" s="1226"/>
      <c r="S40" s="1226"/>
      <c r="T40" s="1226"/>
      <c r="U40" s="1226"/>
      <c r="V40" s="1226"/>
      <c r="W40" s="1226"/>
      <c r="X40" s="1227"/>
      <c r="Y40" s="1242">
        <f>ROUND(Y38*Y39,0)</f>
        <v>0</v>
      </c>
      <c r="Z40" s="1242"/>
      <c r="AA40" s="1242"/>
      <c r="AB40" s="1242"/>
      <c r="AC40" s="1242"/>
      <c r="AD40" s="1648">
        <f>ROUND(AD38*AD39,0)</f>
        <v>0</v>
      </c>
      <c r="AE40" s="1242"/>
      <c r="AF40" s="1242"/>
      <c r="AG40" s="1242"/>
      <c r="AH40" s="1242"/>
    </row>
    <row r="41" spans="1:40" ht="12.95" customHeight="1">
      <c r="B41" s="1225" t="s">
        <v>617</v>
      </c>
      <c r="C41" s="1226"/>
      <c r="D41" s="1226"/>
      <c r="E41" s="1226"/>
      <c r="F41" s="1226"/>
      <c r="G41" s="1226"/>
      <c r="H41" s="1226"/>
      <c r="I41" s="1226"/>
      <c r="J41" s="1226"/>
      <c r="K41" s="1226"/>
      <c r="L41" s="1226"/>
      <c r="M41" s="1226"/>
      <c r="N41" s="1226"/>
      <c r="O41" s="1226"/>
      <c r="P41" s="1226"/>
      <c r="Q41" s="1226"/>
      <c r="R41" s="1226"/>
      <c r="S41" s="1226"/>
      <c r="T41" s="1226"/>
      <c r="U41" s="1226"/>
      <c r="V41" s="1226"/>
      <c r="W41" s="1226"/>
      <c r="X41" s="1227"/>
      <c r="Y41" s="1646">
        <f>IF((Y40+AD40)&gt;2500000,2500000,Y40+AD40)</f>
        <v>0</v>
      </c>
      <c r="Z41" s="1647"/>
      <c r="AA41" s="1647"/>
      <c r="AB41" s="1647"/>
      <c r="AC41" s="1647"/>
      <c r="AD41" s="1647"/>
      <c r="AE41" s="1647"/>
      <c r="AF41" s="1647"/>
      <c r="AG41" s="1647"/>
      <c r="AH41" s="1648"/>
    </row>
    <row r="42" spans="1:40" ht="12.95" customHeight="1">
      <c r="A42" s="3"/>
      <c r="B42" s="1680" t="s">
        <v>1162</v>
      </c>
      <c r="C42" s="1680"/>
      <c r="D42" s="1680"/>
      <c r="E42" s="1680"/>
      <c r="F42" s="1680"/>
      <c r="G42" s="1680"/>
      <c r="H42" s="1680"/>
      <c r="I42" s="1680"/>
      <c r="J42" s="1680"/>
      <c r="K42" s="1680"/>
      <c r="L42" s="1680"/>
      <c r="M42" s="1680"/>
      <c r="N42" s="1680"/>
      <c r="O42" s="1680"/>
      <c r="P42" s="1680"/>
      <c r="Q42" s="1680"/>
      <c r="R42" s="1680"/>
      <c r="S42" s="1680"/>
      <c r="T42" s="1680"/>
      <c r="U42" s="1680"/>
      <c r="V42" s="1680"/>
      <c r="W42" s="1680"/>
      <c r="X42" s="1680"/>
      <c r="Y42" s="1680"/>
      <c r="Z42" s="1680"/>
      <c r="AA42" s="1680"/>
      <c r="AB42" s="1680"/>
      <c r="AC42" s="1680"/>
      <c r="AD42" s="1680"/>
      <c r="AE42" s="1680"/>
      <c r="AF42" s="1680"/>
      <c r="AG42" s="1680"/>
      <c r="AH42" s="1680"/>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36">
        <f>'Sources and Uses Budget'!B104-'Sources and Uses Budget'!$B$15</f>
        <v>30313987</v>
      </c>
      <c r="AC46" s="1237"/>
      <c r="AD46" s="1237"/>
      <c r="AE46" s="1237"/>
      <c r="AF46" s="1238"/>
    </row>
    <row r="47" spans="1:40" ht="12.95" customHeight="1">
      <c r="D47" s="3" t="s">
        <v>837</v>
      </c>
      <c r="AB47" s="1236">
        <f>Application!AG641-MIN('Sources and Uses Budget'!B15,Application!AG393)</f>
        <v>0</v>
      </c>
      <c r="AC47" s="1237"/>
      <c r="AD47" s="1237"/>
      <c r="AE47" s="1237"/>
      <c r="AF47" s="1238"/>
    </row>
    <row r="48" spans="1:40" ht="12.95" customHeight="1">
      <c r="D48" s="3" t="s">
        <v>378</v>
      </c>
      <c r="AB48" s="1236">
        <f>AB46-AB47</f>
        <v>30313987</v>
      </c>
      <c r="AC48" s="1237"/>
      <c r="AD48" s="1237"/>
      <c r="AE48" s="1237"/>
      <c r="AF48" s="1238"/>
    </row>
    <row r="49" spans="1:40" ht="12.95" customHeight="1">
      <c r="D49" s="3" t="s">
        <v>872</v>
      </c>
      <c r="AA49" s="34"/>
      <c r="AB49" s="1675"/>
      <c r="AC49" s="1676"/>
      <c r="AD49" s="1676"/>
      <c r="AE49" s="1676"/>
      <c r="AF49" s="1677"/>
    </row>
    <row r="50" spans="1:40" s="321" customFormat="1" ht="12.95" customHeight="1">
      <c r="A50"/>
      <c r="B50"/>
      <c r="C50"/>
      <c r="D50"/>
      <c r="E50" s="1681" t="s">
        <v>1352</v>
      </c>
      <c r="F50" s="1681"/>
      <c r="G50" s="1681"/>
      <c r="H50" s="1681"/>
      <c r="I50" s="1681"/>
      <c r="J50" s="1681"/>
      <c r="K50" s="1681"/>
      <c r="L50" s="1681"/>
      <c r="M50" s="1681"/>
      <c r="N50" s="1681"/>
      <c r="O50" s="1681"/>
      <c r="P50" s="1681"/>
      <c r="Q50" s="1681"/>
      <c r="R50" s="1681"/>
      <c r="S50" s="1681"/>
      <c r="T50" s="1681"/>
      <c r="U50" s="1681"/>
      <c r="V50" s="1681"/>
      <c r="W50" s="1681"/>
      <c r="X50" s="1681"/>
      <c r="Y50" s="1681"/>
      <c r="Z50" s="1681"/>
      <c r="AA50" s="351"/>
      <c r="AB50" s="351"/>
      <c r="AC50" s="351"/>
      <c r="AD50" s="351"/>
      <c r="AE50" s="351"/>
      <c r="AF50" s="351"/>
      <c r="AG50"/>
      <c r="AH50"/>
      <c r="AI50"/>
      <c r="AJ50"/>
      <c r="AK50"/>
      <c r="AL50"/>
      <c r="AM50"/>
      <c r="AN50"/>
    </row>
    <row r="51" spans="1:40" s="321" customFormat="1" ht="12.95" customHeight="1">
      <c r="A51"/>
      <c r="B51"/>
      <c r="C51"/>
      <c r="D51"/>
      <c r="E51" s="1681"/>
      <c r="F51" s="1681"/>
      <c r="G51" s="1681"/>
      <c r="H51" s="1681"/>
      <c r="I51" s="1681"/>
      <c r="J51" s="1681"/>
      <c r="K51" s="1681"/>
      <c r="L51" s="1681"/>
      <c r="M51" s="1681"/>
      <c r="N51" s="1681"/>
      <c r="O51" s="1681"/>
      <c r="P51" s="1681"/>
      <c r="Q51" s="1681"/>
      <c r="R51" s="1681"/>
      <c r="S51" s="1681"/>
      <c r="T51" s="1681"/>
      <c r="U51" s="1681"/>
      <c r="V51" s="1681"/>
      <c r="W51" s="1681"/>
      <c r="X51" s="1681"/>
      <c r="Y51" s="1681"/>
      <c r="Z51" s="168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6">
        <f>ROUND(IF(ISERROR((AB48/AB49)),0,(AB48/AB49)),0)</f>
        <v>0</v>
      </c>
      <c r="AC53" s="1237"/>
      <c r="AD53" s="1237"/>
      <c r="AE53" s="1237"/>
      <c r="AF53" s="1238"/>
    </row>
    <row r="54" spans="1:40" ht="12.95" customHeight="1">
      <c r="D54" s="3" t="s">
        <v>561</v>
      </c>
      <c r="AB54" s="1236">
        <f>(AB53/10)</f>
        <v>0</v>
      </c>
      <c r="AC54" s="1237"/>
      <c r="AD54" s="1237"/>
      <c r="AE54" s="1237"/>
      <c r="AF54" s="1238"/>
    </row>
    <row r="55" spans="1:40" ht="12.95" customHeight="1">
      <c r="D55" s="3" t="s">
        <v>341</v>
      </c>
      <c r="AB55" s="2012">
        <f>(IF((Y41&lt;AB54),Y41,AB54))</f>
        <v>0</v>
      </c>
      <c r="AC55" s="2013"/>
      <c r="AD55" s="2013"/>
      <c r="AE55" s="2013"/>
      <c r="AF55" s="2014"/>
    </row>
    <row r="56" spans="1:40" ht="12.95" customHeight="1">
      <c r="D56" s="3" t="s">
        <v>107</v>
      </c>
      <c r="AB56" s="1236">
        <f>ROUND((10*AB55*AB49),0)</f>
        <v>0</v>
      </c>
      <c r="AC56" s="1237"/>
      <c r="AD56" s="1237"/>
      <c r="AE56" s="1237"/>
      <c r="AF56" s="1238"/>
    </row>
    <row r="57" spans="1:40" ht="12.95" customHeight="1">
      <c r="D57" s="3"/>
      <c r="AB57" s="274"/>
      <c r="AC57" s="274"/>
      <c r="AD57" s="274"/>
      <c r="AE57" s="274"/>
      <c r="AF57" s="274"/>
    </row>
    <row r="58" spans="1:40" ht="12.95" customHeight="1">
      <c r="D58" s="3" t="s">
        <v>106</v>
      </c>
      <c r="AB58" s="1127">
        <f>AB48-AB56</f>
        <v>30313987</v>
      </c>
      <c r="AC58" s="1127"/>
      <c r="AD58" s="1127"/>
      <c r="AE58" s="1127"/>
      <c r="AF58" s="112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84" t="s">
        <v>1742</v>
      </c>
      <c r="B60" s="1684"/>
      <c r="C60" s="1684"/>
      <c r="D60" s="1684"/>
      <c r="E60" s="1684"/>
      <c r="F60" s="1684"/>
      <c r="G60" s="1684"/>
      <c r="H60" s="1684"/>
      <c r="I60" s="1684"/>
      <c r="J60" s="1684"/>
      <c r="K60" s="1684"/>
      <c r="L60" s="1684"/>
      <c r="M60" s="1684"/>
      <c r="N60" s="1684"/>
      <c r="O60" s="1684"/>
      <c r="P60" s="1684"/>
      <c r="Q60" s="1684"/>
      <c r="R60" s="1684"/>
      <c r="S60" s="1684"/>
      <c r="T60" s="1684"/>
      <c r="U60" s="1684"/>
      <c r="V60" s="1684"/>
      <c r="W60" s="1684"/>
      <c r="X60" s="1684"/>
      <c r="Y60" s="1684"/>
      <c r="Z60" s="1684"/>
      <c r="AA60" s="1684"/>
      <c r="AB60" s="1684"/>
      <c r="AC60" s="1684"/>
      <c r="AD60" s="1684"/>
      <c r="AE60" s="1684"/>
      <c r="AF60" s="1684"/>
      <c r="AG60" s="1684"/>
      <c r="AH60" s="1684"/>
      <c r="AI60" s="1684"/>
      <c r="AJ60" s="1684"/>
      <c r="AK60" s="1684"/>
      <c r="AL60" s="1684"/>
      <c r="AM60" s="1684"/>
      <c r="AN60" s="1684"/>
    </row>
    <row r="61" spans="1:40" ht="12.95" customHeight="1" thickTop="1">
      <c r="A61" s="1560"/>
      <c r="B61" s="1560"/>
      <c r="C61" s="1560"/>
      <c r="D61" s="1560"/>
      <c r="E61" s="1560"/>
      <c r="F61" s="1560"/>
      <c r="G61" s="1560"/>
      <c r="H61" s="1560"/>
      <c r="I61" s="1560"/>
      <c r="J61" s="1560"/>
      <c r="K61" s="1560"/>
      <c r="L61" s="1560"/>
      <c r="M61" s="1560"/>
      <c r="N61" s="1560"/>
      <c r="O61" s="1560"/>
      <c r="P61" s="1560"/>
      <c r="Q61" s="1560"/>
      <c r="R61" s="1560"/>
      <c r="S61" s="1560"/>
      <c r="T61" s="1560"/>
      <c r="U61" s="1560"/>
      <c r="V61" s="1560"/>
      <c r="W61" s="1560"/>
      <c r="X61" s="1560"/>
      <c r="Y61" s="1560"/>
      <c r="Z61" s="1560"/>
      <c r="AA61" s="1560"/>
      <c r="AB61" s="1560"/>
      <c r="AC61" s="1560"/>
      <c r="AD61" s="1560"/>
      <c r="AE61" s="1560"/>
      <c r="AF61" s="1560"/>
      <c r="AG61" s="1560"/>
      <c r="AH61" s="1560"/>
      <c r="AI61" s="1560"/>
      <c r="AJ61" s="1560"/>
      <c r="AK61" s="1560"/>
      <c r="AL61" s="1560"/>
      <c r="AM61" s="1560"/>
      <c r="AN61" s="1560"/>
    </row>
    <row r="62" spans="1:40" ht="12.95" customHeight="1">
      <c r="A62" s="3" t="s">
        <v>122</v>
      </c>
      <c r="C62" s="3" t="s">
        <v>509</v>
      </c>
      <c r="Y62" s="1206" t="s">
        <v>298</v>
      </c>
      <c r="Z62" s="1206"/>
      <c r="AA62" s="1206"/>
      <c r="AB62" s="1206"/>
      <c r="AC62" s="1206"/>
      <c r="AD62" s="1206" t="s">
        <v>41</v>
      </c>
      <c r="AE62" s="1206"/>
      <c r="AF62" s="1206"/>
      <c r="AG62" s="1206"/>
      <c r="AH62" s="1206"/>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2">
        <f>Y28</f>
        <v>0</v>
      </c>
      <c r="Z63" s="1678"/>
      <c r="AA63" s="1678"/>
      <c r="AB63" s="1678"/>
      <c r="AC63" s="1678"/>
      <c r="AD63" s="1242">
        <f>AI28</f>
        <v>0</v>
      </c>
      <c r="AE63" s="1678"/>
      <c r="AF63" s="1678"/>
      <c r="AG63" s="1678"/>
      <c r="AH63" s="1678"/>
    </row>
    <row r="64" spans="1:40" ht="12.95" customHeight="1">
      <c r="C64" s="3"/>
      <c r="E64" s="1685" t="s">
        <v>1289</v>
      </c>
      <c r="F64" s="1685"/>
      <c r="G64" s="1685"/>
      <c r="H64" s="1685"/>
      <c r="I64" s="1685"/>
      <c r="J64" s="1685"/>
      <c r="K64" s="1685"/>
      <c r="L64" s="1685"/>
      <c r="M64" s="1685"/>
      <c r="N64" s="1685"/>
      <c r="O64" s="1685"/>
      <c r="P64" s="1685"/>
      <c r="Q64" s="1685"/>
      <c r="R64" s="1685"/>
      <c r="S64" s="1685"/>
      <c r="T64" s="1685"/>
      <c r="U64" s="1685"/>
      <c r="V64" s="1685"/>
      <c r="W64" s="1685"/>
      <c r="X64" s="1685"/>
      <c r="Y64" s="1685"/>
      <c r="Z64" s="1685"/>
      <c r="AA64" s="1685"/>
      <c r="AB64" s="1685"/>
      <c r="AC64" s="1685"/>
      <c r="AD64" s="1685"/>
      <c r="AE64" s="1685"/>
      <c r="AF64" s="1685"/>
      <c r="AG64" s="1685"/>
      <c r="AH64" s="1685"/>
    </row>
    <row r="65" spans="1:34" ht="30.75" customHeight="1">
      <c r="C65" s="3"/>
      <c r="E65" s="1685"/>
      <c r="F65" s="1685"/>
      <c r="G65" s="1685"/>
      <c r="H65" s="1685"/>
      <c r="I65" s="1685"/>
      <c r="J65" s="1685"/>
      <c r="K65" s="1685"/>
      <c r="L65" s="1685"/>
      <c r="M65" s="1685"/>
      <c r="N65" s="1685"/>
      <c r="O65" s="1685"/>
      <c r="P65" s="1685"/>
      <c r="Q65" s="1685"/>
      <c r="R65" s="1685"/>
      <c r="S65" s="1685"/>
      <c r="T65" s="1685"/>
      <c r="U65" s="1685"/>
      <c r="V65" s="1685"/>
      <c r="W65" s="1685"/>
      <c r="X65" s="1685"/>
      <c r="Y65" s="1685"/>
      <c r="Z65" s="1685"/>
      <c r="AA65" s="1685"/>
      <c r="AB65" s="1685"/>
      <c r="AC65" s="1685"/>
      <c r="AD65" s="1685"/>
      <c r="AE65" s="1685"/>
      <c r="AF65" s="1685"/>
      <c r="AG65" s="1685"/>
      <c r="AH65" s="168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74">
        <v>0.3</v>
      </c>
      <c r="Z66" s="1674"/>
      <c r="AA66" s="1674"/>
      <c r="AB66" s="1674"/>
      <c r="AC66" s="1674"/>
      <c r="AD66" s="1674">
        <v>0.13</v>
      </c>
      <c r="AE66" s="1674"/>
      <c r="AF66" s="1674"/>
      <c r="AG66" s="1674"/>
      <c r="AH66" s="1674"/>
    </row>
    <row r="67" spans="1:34" ht="12.95" customHeight="1">
      <c r="C67" s="3"/>
      <c r="D67" s="3" t="s">
        <v>941</v>
      </c>
      <c r="Y67" s="1242">
        <f>ROUND(Y63*Y66,0)</f>
        <v>0</v>
      </c>
      <c r="Z67" s="1678"/>
      <c r="AA67" s="1678"/>
      <c r="AB67" s="1678"/>
      <c r="AC67" s="1678"/>
      <c r="AD67" s="1242" t="str">
        <f>IF(OR(Application!D211="At-Risk",Application!D211="At-Risk/Located in Rural Census Tract",Application!D214="At-Risk"),ROUND(AD63*AD66,0),"$0")</f>
        <v>$0</v>
      </c>
      <c r="AE67" s="1242"/>
      <c r="AF67" s="1242"/>
      <c r="AG67" s="1242"/>
      <c r="AH67" s="124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75"/>
      <c r="AC70" s="1676"/>
      <c r="AD70" s="1676"/>
      <c r="AE70" s="1676"/>
      <c r="AF70" s="1677"/>
    </row>
    <row r="71" spans="1:34" ht="12.95" customHeight="1">
      <c r="A71" s="3"/>
      <c r="C71" s="3"/>
      <c r="D71" s="3"/>
      <c r="E71" s="1679" t="s">
        <v>1737</v>
      </c>
      <c r="F71" s="1679"/>
      <c r="G71" s="1679"/>
      <c r="H71" s="1679"/>
      <c r="I71" s="1679"/>
      <c r="J71" s="1679"/>
      <c r="K71" s="1679"/>
      <c r="L71" s="1679"/>
      <c r="M71" s="1679"/>
      <c r="N71" s="1679"/>
      <c r="O71" s="1679"/>
      <c r="P71" s="1679"/>
      <c r="Q71" s="1679"/>
      <c r="R71" s="1679"/>
      <c r="S71" s="1679"/>
      <c r="T71" s="1679"/>
      <c r="U71" s="1679"/>
      <c r="V71" s="1679"/>
      <c r="W71" s="1679"/>
      <c r="X71" s="1679"/>
      <c r="Y71" s="1679"/>
      <c r="Z71" s="1679"/>
      <c r="AA71" s="251"/>
      <c r="AB71" s="251"/>
      <c r="AC71" s="251"/>
    </row>
    <row r="72" spans="1:34" ht="12.95" customHeight="1">
      <c r="A72" s="3"/>
      <c r="C72" s="3"/>
      <c r="D72" s="3"/>
      <c r="E72" s="1679"/>
      <c r="F72" s="1679"/>
      <c r="G72" s="1679"/>
      <c r="H72" s="1679"/>
      <c r="I72" s="1679"/>
      <c r="J72" s="1679"/>
      <c r="K72" s="1679"/>
      <c r="L72" s="1679"/>
      <c r="M72" s="1679"/>
      <c r="N72" s="1679"/>
      <c r="O72" s="1679"/>
      <c r="P72" s="1679"/>
      <c r="Q72" s="1679"/>
      <c r="R72" s="1679"/>
      <c r="S72" s="1679"/>
      <c r="T72" s="1679"/>
      <c r="U72" s="1679"/>
      <c r="V72" s="1679"/>
      <c r="W72" s="1679"/>
      <c r="X72" s="1679"/>
      <c r="Y72" s="1679"/>
      <c r="Z72" s="1679"/>
      <c r="AA72" s="251"/>
      <c r="AB72" s="251"/>
      <c r="AC72" s="251"/>
    </row>
    <row r="73" spans="1:34" ht="12.95" customHeight="1">
      <c r="A73" s="3"/>
      <c r="C73" s="3"/>
      <c r="D73" s="3"/>
      <c r="E73" s="1679"/>
      <c r="F73" s="1679"/>
      <c r="G73" s="1679"/>
      <c r="H73" s="1679"/>
      <c r="I73" s="1679"/>
      <c r="J73" s="1679"/>
      <c r="K73" s="1679"/>
      <c r="L73" s="1679"/>
      <c r="M73" s="1679"/>
      <c r="N73" s="1679"/>
      <c r="O73" s="1679"/>
      <c r="P73" s="1679"/>
      <c r="Q73" s="1679"/>
      <c r="R73" s="1679"/>
      <c r="S73" s="1679"/>
      <c r="T73" s="1679"/>
      <c r="U73" s="1679"/>
      <c r="V73" s="1679"/>
      <c r="W73" s="1679"/>
      <c r="X73" s="1679"/>
      <c r="Y73" s="1679"/>
      <c r="Z73" s="167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54">
        <f>ROUND(IF(ISERROR((AB58/AB70)),0,(AB58/AB70)),0)</f>
        <v>0</v>
      </c>
      <c r="AC75" s="1554"/>
      <c r="AD75" s="1554"/>
      <c r="AE75" s="1554"/>
      <c r="AF75" s="1554"/>
    </row>
    <row r="76" spans="1:34" ht="12.95" customHeight="1">
      <c r="C76" s="3"/>
      <c r="D76" s="3" t="s">
        <v>105</v>
      </c>
      <c r="AB76" s="1599">
        <f>IF((Y67+AD67&lt;AB75),Y67+AD67,AB75)</f>
        <v>0</v>
      </c>
      <c r="AC76" s="1600"/>
      <c r="AD76" s="1600"/>
      <c r="AE76" s="1600"/>
      <c r="AF76" s="1601"/>
    </row>
    <row r="77" spans="1:34" ht="12.95" customHeight="1">
      <c r="C77" s="3"/>
      <c r="D77" s="3" t="s">
        <v>942</v>
      </c>
      <c r="AB77" s="1673">
        <f>AB76*AB70</f>
        <v>0</v>
      </c>
      <c r="AC77" s="1673"/>
      <c r="AD77" s="1673"/>
      <c r="AE77" s="1673"/>
      <c r="AF77" s="1673"/>
    </row>
    <row r="78" spans="1:34" ht="12.95" customHeight="1">
      <c r="C78" s="3"/>
      <c r="D78" s="3"/>
      <c r="AB78" s="595"/>
      <c r="AC78" s="595"/>
      <c r="AD78" s="595"/>
      <c r="AE78" s="595"/>
      <c r="AF78" s="595"/>
    </row>
    <row r="79" spans="1:34" ht="12.95" customHeight="1">
      <c r="D79" s="3" t="s">
        <v>106</v>
      </c>
      <c r="AB79" s="1127">
        <f>AB48-(AB56+AB77)</f>
        <v>30313987</v>
      </c>
      <c r="AC79" s="1127"/>
      <c r="AD79" s="1127"/>
      <c r="AE79" s="1127"/>
      <c r="AF79" s="1127"/>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4200000</v>
      </c>
      <c r="C5" s="327">
        <f>'Sources and Uses Budget'!C4</f>
        <v>4200000</v>
      </c>
      <c r="D5" s="327">
        <f>'Sources and Uses Budget'!C4</f>
        <v>4200000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4200000</v>
      </c>
      <c r="C9" s="329">
        <f>SUM(C5:C8)</f>
        <v>4200000</v>
      </c>
      <c r="D9" s="329">
        <f>SUM(D5:D8)</f>
        <v>4200000</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0</v>
      </c>
      <c r="C12" s="329">
        <f>SUM(C10:C11)</f>
        <v>0</v>
      </c>
      <c r="D12" s="329">
        <f>SUM(D10:D11)</f>
        <v>0</v>
      </c>
      <c r="E12" s="329">
        <f t="shared" si="0"/>
        <v>0</v>
      </c>
      <c r="F12" s="328"/>
      <c r="G12" s="328"/>
    </row>
    <row r="13" spans="1:7" s="565" customFormat="1" ht="12.75">
      <c r="A13" s="882" t="s">
        <v>711</v>
      </c>
      <c r="B13" s="329">
        <f>SUM(B9+B12)</f>
        <v>4200000</v>
      </c>
      <c r="C13" s="329">
        <f>SUM(C9+C12)</f>
        <v>4200000</v>
      </c>
      <c r="D13" s="329">
        <f>SUM(D9+D12)</f>
        <v>4200000</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12101100</v>
      </c>
      <c r="C31" s="327">
        <f>'Sources and Uses Budget'!C30</f>
        <v>12101100</v>
      </c>
      <c r="D31" s="327">
        <f>'Sources and Uses Budget'!C30</f>
        <v>12101100</v>
      </c>
      <c r="E31" s="329">
        <f t="shared" si="0"/>
        <v>0</v>
      </c>
      <c r="F31" s="328"/>
      <c r="G31" s="328"/>
    </row>
    <row r="32" spans="1:7" s="565" customFormat="1" ht="12.75">
      <c r="A32" s="237" t="s">
        <v>912</v>
      </c>
      <c r="B32" s="327">
        <f>'Sources and Uses Budget'!C31</f>
        <v>726066</v>
      </c>
      <c r="C32" s="327">
        <f>'Sources and Uses Budget'!C31</f>
        <v>726066</v>
      </c>
      <c r="D32" s="327">
        <f>'Sources and Uses Budget'!C31</f>
        <v>726066</v>
      </c>
      <c r="E32" s="329">
        <f t="shared" si="0"/>
        <v>0</v>
      </c>
      <c r="F32" s="328"/>
      <c r="G32" s="328"/>
    </row>
    <row r="33" spans="1:7" s="565" customFormat="1" ht="12.75">
      <c r="A33" s="237" t="s">
        <v>913</v>
      </c>
      <c r="B33" s="327">
        <f>'Sources and Uses Budget'!C32</f>
        <v>256543</v>
      </c>
      <c r="C33" s="327">
        <f>'Sources and Uses Budget'!C32</f>
        <v>256543</v>
      </c>
      <c r="D33" s="327">
        <f>'Sources and Uses Budget'!C32</f>
        <v>256543</v>
      </c>
      <c r="E33" s="329">
        <f t="shared" si="0"/>
        <v>0</v>
      </c>
      <c r="F33" s="328"/>
      <c r="G33" s="328"/>
    </row>
    <row r="34" spans="1:7" s="565" customFormat="1" ht="12.75">
      <c r="A34" s="237" t="s">
        <v>914</v>
      </c>
      <c r="B34" s="327">
        <f>'Sources and Uses Budget'!C33</f>
        <v>769630</v>
      </c>
      <c r="C34" s="327">
        <f>'Sources and Uses Budget'!C33</f>
        <v>769630</v>
      </c>
      <c r="D34" s="327">
        <f>'Sources and Uses Budget'!C33</f>
        <v>769630</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415600</v>
      </c>
      <c r="C36" s="327">
        <f>'Sources and Uses Budget'!C35</f>
        <v>415600</v>
      </c>
      <c r="D36" s="327">
        <f>'Sources and Uses Budget'!C35</f>
        <v>415600</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2661400</v>
      </c>
      <c r="C38" s="327">
        <f>'Sources and Uses Budget'!C37</f>
        <v>2661400</v>
      </c>
      <c r="D38" s="327">
        <f>'Sources and Uses Budget'!C37</f>
        <v>2661400</v>
      </c>
      <c r="E38" s="329">
        <f>C38-B38</f>
        <v>0</v>
      </c>
      <c r="F38" s="328"/>
      <c r="G38" s="328"/>
    </row>
    <row r="39" spans="1:7" s="565" customFormat="1" ht="12.75">
      <c r="A39" s="884" t="s">
        <v>919</v>
      </c>
      <c r="B39" s="891">
        <f>'Sources and Uses Budget'!C38</f>
        <v>16930339</v>
      </c>
      <c r="C39" s="891">
        <f>'Sources and Uses Budget'!C38</f>
        <v>16930339</v>
      </c>
      <c r="D39" s="891">
        <f>'Sources and Uses Budget'!C38</f>
        <v>16930339</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800000</v>
      </c>
      <c r="C41" s="327">
        <f>'Sources and Uses Budget'!C40</f>
        <v>800000</v>
      </c>
      <c r="D41" s="327">
        <f>'Sources and Uses Budget'!C40</f>
        <v>800000</v>
      </c>
      <c r="E41" s="329">
        <f>C41-B41</f>
        <v>0</v>
      </c>
      <c r="F41" s="328"/>
      <c r="G41" s="328"/>
    </row>
    <row r="42" spans="1:7" s="565" customFormat="1" ht="12.75">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800000</v>
      </c>
      <c r="C43" s="891">
        <f>'Sources and Uses Budget'!C42</f>
        <v>800000</v>
      </c>
      <c r="D43" s="891">
        <f>'Sources and Uses Budget'!C42</f>
        <v>800000</v>
      </c>
      <c r="E43" s="329">
        <f>C43-B43</f>
        <v>0</v>
      </c>
      <c r="F43" s="328"/>
      <c r="G43" s="328"/>
    </row>
    <row r="44" spans="1:7" s="565" customFormat="1" ht="12.75">
      <c r="A44" s="884" t="s">
        <v>924</v>
      </c>
      <c r="B44" s="327">
        <f>'Sources and Uses Budget'!C43</f>
        <v>100000</v>
      </c>
      <c r="C44" s="327">
        <f>'Sources and Uses Budget'!C43</f>
        <v>100000</v>
      </c>
      <c r="D44" s="327">
        <f>'Sources and Uses Budget'!C43</f>
        <v>100000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1392228</v>
      </c>
      <c r="C46" s="327">
        <f>'Sources and Uses Budget'!C45</f>
        <v>1392228</v>
      </c>
      <c r="D46" s="327">
        <f>'Sources and Uses Budget'!C45</f>
        <v>1392228</v>
      </c>
      <c r="E46" s="329">
        <f t="shared" si="0"/>
        <v>0</v>
      </c>
      <c r="F46" s="328"/>
      <c r="G46" s="328"/>
    </row>
    <row r="47" spans="1:7" s="565" customFormat="1" ht="12.75">
      <c r="A47" s="237" t="s">
        <v>927</v>
      </c>
      <c r="B47" s="327">
        <f>'Sources and Uses Budget'!C46</f>
        <v>287173</v>
      </c>
      <c r="C47" s="327">
        <f>'Sources and Uses Budget'!C46</f>
        <v>287173</v>
      </c>
      <c r="D47" s="327">
        <f>'Sources and Uses Budget'!C46</f>
        <v>287173</v>
      </c>
      <c r="E47" s="329">
        <f t="shared" si="0"/>
        <v>0</v>
      </c>
      <c r="F47" s="328"/>
      <c r="G47" s="328"/>
    </row>
    <row r="48" spans="1:7" s="565" customFormat="1" ht="12.75">
      <c r="A48" s="237" t="s">
        <v>928</v>
      </c>
      <c r="B48" s="327">
        <f>'Sources and Uses Budget'!C47</f>
        <v>35000</v>
      </c>
      <c r="C48" s="327">
        <f>'Sources and Uses Budget'!C47</f>
        <v>35000</v>
      </c>
      <c r="D48" s="327">
        <f>'Sources and Uses Budget'!C47</f>
        <v>35000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40000</v>
      </c>
      <c r="C50" s="327">
        <f>'Sources and Uses Budget'!C49</f>
        <v>40000</v>
      </c>
      <c r="D50" s="327">
        <f>'Sources and Uses Budget'!C49</f>
        <v>40000</v>
      </c>
      <c r="E50" s="329">
        <f t="shared" si="0"/>
        <v>0</v>
      </c>
      <c r="F50" s="328"/>
      <c r="G50" s="328"/>
    </row>
    <row r="51" spans="1:7" s="565" customFormat="1" ht="12.75">
      <c r="A51" s="237" t="s">
        <v>930</v>
      </c>
      <c r="B51" s="327">
        <f>'Sources and Uses Budget'!C50</f>
        <v>84000</v>
      </c>
      <c r="C51" s="327">
        <f>'Sources and Uses Budget'!C50</f>
        <v>84000</v>
      </c>
      <c r="D51" s="327">
        <f>'Sources and Uses Budget'!C50</f>
        <v>84000</v>
      </c>
      <c r="E51" s="329">
        <f t="shared" si="0"/>
        <v>0</v>
      </c>
      <c r="F51" s="328"/>
      <c r="G51" s="328"/>
    </row>
    <row r="52" spans="1:7" s="566" customFormat="1" ht="12.75">
      <c r="A52" s="237" t="s">
        <v>931</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20000</v>
      </c>
      <c r="C53" s="327">
        <f>'Sources and Uses Budget'!C52</f>
        <v>20000</v>
      </c>
      <c r="D53" s="327">
        <f>'Sources and Uses Budget'!C52</f>
        <v>20000</v>
      </c>
      <c r="E53" s="329">
        <f t="shared" si="0"/>
        <v>0</v>
      </c>
      <c r="F53" s="328"/>
      <c r="G53" s="328"/>
    </row>
    <row r="54" spans="1:7" s="565" customFormat="1" ht="12.75">
      <c r="A54" s="241" t="s">
        <v>933</v>
      </c>
      <c r="B54" s="891">
        <f>'Sources and Uses Budget'!C53</f>
        <v>1858401</v>
      </c>
      <c r="C54" s="891">
        <f>'Sources and Uses Budget'!C53</f>
        <v>1858401</v>
      </c>
      <c r="D54" s="891">
        <f>'Sources and Uses Budget'!C53</f>
        <v>1858401</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10000</v>
      </c>
      <c r="C57" s="327">
        <f>'Sources and Uses Budget'!C56</f>
        <v>10000</v>
      </c>
      <c r="D57" s="327">
        <f>'Sources and Uses Budget'!C56</f>
        <v>10000</v>
      </c>
      <c r="E57" s="329">
        <f t="shared" si="0"/>
        <v>0</v>
      </c>
      <c r="F57" s="328"/>
      <c r="G57" s="328"/>
    </row>
    <row r="58" spans="1:7" s="565" customFormat="1" ht="12.75">
      <c r="A58" s="885" t="s">
        <v>932</v>
      </c>
      <c r="B58" s="327">
        <f>'Sources and Uses Budget'!C57</f>
        <v>5000</v>
      </c>
      <c r="C58" s="327">
        <f>'Sources and Uses Budget'!C57</f>
        <v>5000</v>
      </c>
      <c r="D58" s="327">
        <f>'Sources and Uses Budget'!C57</f>
        <v>5000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15000</v>
      </c>
      <c r="C62" s="891">
        <f>'Sources and Uses Budget'!C61</f>
        <v>15000</v>
      </c>
      <c r="D62" s="891">
        <f>'Sources and Uses Budget'!C61</f>
        <v>15000</v>
      </c>
      <c r="E62" s="329">
        <f t="shared" si="0"/>
        <v>0</v>
      </c>
      <c r="F62" s="328"/>
      <c r="G62" s="328"/>
    </row>
    <row r="63" spans="1:7" s="565" customFormat="1" ht="12.75">
      <c r="A63" s="887" t="s">
        <v>501</v>
      </c>
      <c r="B63" s="891">
        <f>'Sources and Uses Budget'!C62</f>
        <v>23903740</v>
      </c>
      <c r="C63" s="891">
        <f>'Sources and Uses Budget'!C62</f>
        <v>23903740</v>
      </c>
      <c r="D63" s="891">
        <f>'Sources and Uses Budget'!C62</f>
        <v>23903740</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65000</v>
      </c>
      <c r="C65" s="327">
        <f>'Sources and Uses Budget'!C64</f>
        <v>65000</v>
      </c>
      <c r="D65" s="327">
        <f>'Sources and Uses Budget'!C64</f>
        <v>65000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50000</v>
      </c>
      <c r="C69" s="327">
        <f>'Sources and Uses Budget'!C68</f>
        <v>50000</v>
      </c>
      <c r="D69" s="327">
        <f>'Sources and Uses Budget'!C68</f>
        <v>50000</v>
      </c>
      <c r="E69" s="329">
        <f t="shared" si="0"/>
        <v>0</v>
      </c>
      <c r="F69" s="328"/>
      <c r="G69" s="328"/>
    </row>
    <row r="70" spans="1:7" s="565" customFormat="1" ht="12.75">
      <c r="A70" s="241" t="s">
        <v>1945</v>
      </c>
      <c r="B70" s="891">
        <f>'Sources and Uses Budget'!C69</f>
        <v>115000</v>
      </c>
      <c r="C70" s="891">
        <f>'Sources and Uses Budget'!C69</f>
        <v>115000</v>
      </c>
      <c r="D70" s="891">
        <f>'Sources and Uses Budget'!C69</f>
        <v>115000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30000</v>
      </c>
      <c r="C72" s="327">
        <f>'Sources and Uses Budget'!C71</f>
        <v>30000</v>
      </c>
      <c r="D72" s="327">
        <f>'Sources and Uses Budget'!C71</f>
        <v>30000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169784</v>
      </c>
      <c r="C75" s="327">
        <f>'Sources and Uses Budget'!C74</f>
        <v>169784</v>
      </c>
      <c r="D75" s="327">
        <f>'Sources and Uses Budget'!C74</f>
        <v>169784</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199784</v>
      </c>
      <c r="C77" s="891">
        <f>'Sources and Uses Budget'!C76</f>
        <v>199784</v>
      </c>
      <c r="D77" s="891">
        <f>'Sources and Uses Budget'!C76</f>
        <v>199784</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846517</v>
      </c>
      <c r="C79" s="327">
        <f>'Sources and Uses Budget'!C78</f>
        <v>846517</v>
      </c>
      <c r="D79" s="327">
        <f>'Sources and Uses Budget'!C78</f>
        <v>846517</v>
      </c>
      <c r="E79" s="329">
        <f t="shared" ref="E79:E105" si="2">C79-B79</f>
        <v>0</v>
      </c>
      <c r="F79" s="328"/>
      <c r="G79" s="328"/>
    </row>
    <row r="80" spans="1:7" s="565" customFormat="1" ht="12.75">
      <c r="A80" s="885" t="s">
        <v>538</v>
      </c>
      <c r="B80" s="327">
        <f>'Sources and Uses Budget'!C79</f>
        <v>196956</v>
      </c>
      <c r="C80" s="327">
        <f>'Sources and Uses Budget'!C79</f>
        <v>196956</v>
      </c>
      <c r="D80" s="327">
        <f>'Sources and Uses Budget'!C79</f>
        <v>196956</v>
      </c>
      <c r="E80" s="329">
        <f t="shared" si="2"/>
        <v>0</v>
      </c>
      <c r="F80" s="328"/>
      <c r="G80" s="328"/>
    </row>
    <row r="81" spans="1:7" s="565" customFormat="1" ht="12.75">
      <c r="A81" s="884" t="s">
        <v>1734</v>
      </c>
      <c r="B81" s="891">
        <f>'Sources and Uses Budget'!C80</f>
        <v>1043473</v>
      </c>
      <c r="C81" s="891">
        <f>'Sources and Uses Budget'!C80</f>
        <v>1043473</v>
      </c>
      <c r="D81" s="891">
        <f>'Sources and Uses Budget'!C80</f>
        <v>1043473</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107468</v>
      </c>
      <c r="C83" s="327">
        <f>'Sources and Uses Budget'!C82</f>
        <v>107468</v>
      </c>
      <c r="D83" s="327">
        <f>'Sources and Uses Budget'!C82</f>
        <v>107468</v>
      </c>
      <c r="E83" s="329">
        <f t="shared" si="2"/>
        <v>0</v>
      </c>
      <c r="F83" s="328"/>
      <c r="G83" s="328"/>
    </row>
    <row r="84" spans="1:7" s="565" customFormat="1" ht="12.75">
      <c r="A84" s="237" t="s">
        <v>516</v>
      </c>
      <c r="B84" s="327">
        <f>'Sources and Uses Budget'!C83</f>
        <v>7000</v>
      </c>
      <c r="C84" s="327">
        <f>'Sources and Uses Budget'!C83</f>
        <v>7000</v>
      </c>
      <c r="D84" s="327">
        <f>'Sources and Uses Budget'!C83</f>
        <v>7000</v>
      </c>
      <c r="E84" s="329">
        <f t="shared" si="2"/>
        <v>0</v>
      </c>
      <c r="F84" s="328"/>
      <c r="G84" s="328"/>
    </row>
    <row r="85" spans="1:7" s="565" customFormat="1" ht="12.75">
      <c r="A85" s="237" t="s">
        <v>517</v>
      </c>
      <c r="B85" s="327">
        <f>'Sources and Uses Budget'!C84</f>
        <v>1504272</v>
      </c>
      <c r="C85" s="327">
        <f>'Sources and Uses Budget'!C84</f>
        <v>1504272</v>
      </c>
      <c r="D85" s="327">
        <f>'Sources and Uses Budget'!C84</f>
        <v>1504272</v>
      </c>
      <c r="E85" s="329">
        <f t="shared" si="2"/>
        <v>0</v>
      </c>
      <c r="F85" s="328"/>
      <c r="G85" s="328"/>
    </row>
    <row r="86" spans="1:7" s="565" customFormat="1" ht="12.75">
      <c r="A86" s="237" t="s">
        <v>518</v>
      </c>
      <c r="B86" s="327">
        <f>'Sources and Uses Budget'!C85</f>
        <v>800000</v>
      </c>
      <c r="C86" s="327">
        <f>'Sources and Uses Budget'!C85</f>
        <v>800000</v>
      </c>
      <c r="D86" s="327">
        <f>'Sources and Uses Budget'!C85</f>
        <v>800000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30750</v>
      </c>
      <c r="C88" s="327">
        <f>'Sources and Uses Budget'!C87</f>
        <v>30750</v>
      </c>
      <c r="D88" s="327">
        <f>'Sources and Uses Budget'!C87</f>
        <v>30750</v>
      </c>
      <c r="E88" s="329">
        <f t="shared" si="2"/>
        <v>0</v>
      </c>
      <c r="F88" s="328"/>
      <c r="G88" s="328"/>
    </row>
    <row r="89" spans="1:7" s="565" customFormat="1" ht="12.75">
      <c r="A89" s="237" t="s">
        <v>521</v>
      </c>
      <c r="B89" s="327">
        <f>'Sources and Uses Budget'!C88</f>
        <v>40000</v>
      </c>
      <c r="C89" s="327">
        <f>'Sources and Uses Budget'!C88</f>
        <v>40000</v>
      </c>
      <c r="D89" s="327">
        <f>'Sources and Uses Budget'!C88</f>
        <v>40000</v>
      </c>
      <c r="E89" s="329">
        <f t="shared" si="2"/>
        <v>0</v>
      </c>
      <c r="F89" s="328"/>
      <c r="G89" s="328"/>
    </row>
    <row r="90" spans="1:7" s="565" customFormat="1" ht="12.75">
      <c r="A90" s="237" t="s">
        <v>522</v>
      </c>
      <c r="B90" s="327">
        <f>'Sources and Uses Budget'!C89</f>
        <v>10000</v>
      </c>
      <c r="C90" s="327">
        <f>'Sources and Uses Budget'!C89</f>
        <v>10000</v>
      </c>
      <c r="D90" s="327">
        <f>'Sources and Uses Budget'!C89</f>
        <v>10000</v>
      </c>
      <c r="E90" s="329">
        <f t="shared" si="2"/>
        <v>0</v>
      </c>
      <c r="F90" s="328"/>
      <c r="G90" s="328"/>
    </row>
    <row r="91" spans="1:7" s="565" customFormat="1" ht="12.75">
      <c r="A91" s="248" t="s">
        <v>1315</v>
      </c>
      <c r="B91" s="327">
        <f>'Sources and Uses Budget'!C90</f>
        <v>45000</v>
      </c>
      <c r="C91" s="327">
        <f>'Sources and Uses Budget'!C90</f>
        <v>45000</v>
      </c>
      <c r="D91" s="327">
        <f>'Sources and Uses Budget'!C90</f>
        <v>45000</v>
      </c>
      <c r="E91" s="329">
        <f t="shared" si="2"/>
        <v>0</v>
      </c>
      <c r="F91" s="328"/>
      <c r="G91" s="328"/>
    </row>
    <row r="92" spans="1:7" s="565" customFormat="1" ht="12.75">
      <c r="A92" s="248" t="s">
        <v>1732</v>
      </c>
      <c r="B92" s="327">
        <f>'Sources and Uses Budget'!C91</f>
        <v>7500</v>
      </c>
      <c r="C92" s="327">
        <f>'Sources and Uses Budget'!C91</f>
        <v>7500</v>
      </c>
      <c r="D92" s="327">
        <f>'Sources and Uses Budget'!C91</f>
        <v>7500</v>
      </c>
      <c r="E92" s="329">
        <f t="shared" si="2"/>
        <v>0</v>
      </c>
      <c r="F92" s="328"/>
      <c r="G92" s="328"/>
    </row>
    <row r="93" spans="1:7" s="565" customFormat="1" ht="12.75">
      <c r="A93" s="244" t="s">
        <v>533</v>
      </c>
      <c r="B93" s="327">
        <f>'Sources and Uses Budget'!C92</f>
        <v>0</v>
      </c>
      <c r="C93" s="327">
        <f>'Sources and Uses Budget'!C92</f>
        <v>0</v>
      </c>
      <c r="D93" s="327">
        <f>'Sources and Uses Budget'!C92</f>
        <v>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2551990</v>
      </c>
      <c r="C96" s="891">
        <f>'Sources and Uses Budget'!C95</f>
        <v>2551990</v>
      </c>
      <c r="D96" s="891">
        <f>'Sources and Uses Budget'!C95</f>
        <v>2551990</v>
      </c>
      <c r="E96" s="329">
        <f t="shared" si="2"/>
        <v>0</v>
      </c>
      <c r="F96" s="328"/>
      <c r="G96" s="328"/>
    </row>
    <row r="97" spans="1:7" s="565" customFormat="1" ht="12.75">
      <c r="A97" s="241" t="s">
        <v>524</v>
      </c>
      <c r="B97" s="891">
        <f>'Sources and Uses Budget'!C96</f>
        <v>27813987</v>
      </c>
      <c r="C97" s="891">
        <f>'Sources and Uses Budget'!C96</f>
        <v>27813987</v>
      </c>
      <c r="D97" s="891">
        <f>'Sources and Uses Budget'!C96</f>
        <v>27813987</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529</v>
      </c>
      <c r="B105" s="891">
        <f>'Sources and Uses Budget'!C104</f>
        <v>30313987</v>
      </c>
      <c r="C105" s="891">
        <f>'Sources and Uses Budget'!C104</f>
        <v>30313987</v>
      </c>
      <c r="D105" s="891">
        <f>'Sources and Uses Budget'!C104</f>
        <v>30313987</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2316</v>
      </c>
      <c r="B3" s="996"/>
      <c r="C3" s="996"/>
      <c r="D3" s="996"/>
      <c r="E3" s="996"/>
      <c r="F3" s="996"/>
      <c r="G3" s="996"/>
      <c r="H3" s="996"/>
      <c r="I3" s="996"/>
      <c r="J3" s="996"/>
    </row>
    <row r="4" spans="1:10"/>
    <row r="5" spans="1:10" ht="12.75" customHeight="1">
      <c r="A5" s="980" t="s">
        <v>2152</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2085</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8" t="s">
        <v>2321</v>
      </c>
      <c r="B2" s="1048"/>
      <c r="C2" s="996"/>
      <c r="D2" s="996"/>
      <c r="E2" s="996"/>
      <c r="F2" s="996"/>
      <c r="G2" s="996"/>
      <c r="I2" t="s">
        <v>79</v>
      </c>
    </row>
    <row r="3" spans="1:9" ht="12.75">
      <c r="A3" s="188"/>
      <c r="B3" s="188"/>
      <c r="C3"/>
      <c r="D3"/>
      <c r="E3"/>
      <c r="F3"/>
      <c r="G3"/>
      <c r="I3" s="5" t="s">
        <v>1391</v>
      </c>
    </row>
    <row r="4" spans="1:9" ht="12.75">
      <c r="A4" s="1049" t="s">
        <v>2119</v>
      </c>
      <c r="B4" s="1049"/>
      <c r="C4" s="1050"/>
      <c r="D4" s="1050"/>
      <c r="E4" s="1050"/>
      <c r="F4" s="1050"/>
      <c r="G4" s="1050"/>
      <c r="I4" s="5" t="s">
        <v>1375</v>
      </c>
    </row>
    <row r="5" spans="1:9" ht="12.75">
      <c r="A5" s="1049" t="s">
        <v>1041</v>
      </c>
      <c r="B5" s="1049"/>
      <c r="C5" s="1050"/>
      <c r="D5" s="1050"/>
      <c r="E5" s="1050"/>
      <c r="F5" s="1050"/>
      <c r="G5" s="1050"/>
      <c r="I5" t="s">
        <v>124</v>
      </c>
    </row>
    <row r="6" spans="1:9" ht="13.7" customHeight="1"/>
    <row r="7" spans="1:9" ht="12.75">
      <c r="A7" s="1052" t="s">
        <v>2284</v>
      </c>
      <c r="B7" s="1052"/>
      <c r="C7" s="1052"/>
      <c r="D7" s="1052"/>
      <c r="E7" s="1052"/>
      <c r="F7" s="1052"/>
      <c r="G7" s="1052"/>
    </row>
    <row r="8" spans="1:9" ht="12.75">
      <c r="A8" s="1052"/>
      <c r="B8" s="1052"/>
      <c r="C8" s="1052"/>
      <c r="D8" s="1052"/>
      <c r="E8" s="1052"/>
      <c r="F8" s="1052"/>
      <c r="G8" s="1052"/>
    </row>
    <row r="9" spans="1:9" ht="12.75">
      <c r="A9" s="190"/>
      <c r="B9" s="190"/>
      <c r="C9" s="188"/>
      <c r="D9" s="188"/>
      <c r="E9" s="188"/>
      <c r="F9" s="188"/>
      <c r="G9" s="188"/>
    </row>
    <row r="10" spans="1:9" ht="12.75">
      <c r="A10" s="1038" t="s">
        <v>1540</v>
      </c>
      <c r="B10" s="1038"/>
      <c r="C10" s="1038"/>
      <c r="D10" s="1038"/>
      <c r="E10" s="1038"/>
      <c r="F10" s="1038"/>
      <c r="G10" s="1038"/>
    </row>
    <row r="11" spans="1:9" ht="12.75">
      <c r="A11" s="188"/>
      <c r="B11" s="188"/>
    </row>
    <row r="12" spans="1:9" ht="13.7" customHeight="1">
      <c r="C12" s="188"/>
      <c r="D12" s="1051" t="s">
        <v>1539</v>
      </c>
      <c r="E12" s="1051"/>
      <c r="F12" s="1051"/>
      <c r="G12" s="607"/>
    </row>
    <row r="13" spans="1:9" ht="12.75">
      <c r="C13" s="188"/>
      <c r="D13" s="1051"/>
      <c r="E13" s="1051"/>
      <c r="F13" s="1051"/>
      <c r="G13" s="607"/>
    </row>
    <row r="14" spans="1:9" ht="12.75">
      <c r="A14" s="189"/>
      <c r="B14" s="189"/>
      <c r="C14" s="189"/>
      <c r="D14" s="1004" t="s">
        <v>1413</v>
      </c>
      <c r="E14" s="1004"/>
      <c r="F14" s="1004"/>
    </row>
    <row r="15" spans="1:9" ht="12.75">
      <c r="A15" s="189"/>
      <c r="B15" s="189"/>
      <c r="C15" s="189"/>
    </row>
    <row r="16" spans="1:9" ht="14.45" customHeight="1">
      <c r="A16" s="269"/>
      <c r="B16" s="606" t="s">
        <v>79</v>
      </c>
      <c r="C16" s="189"/>
      <c r="D16" s="977" t="s">
        <v>2050</v>
      </c>
      <c r="E16" s="985"/>
      <c r="F16" s="985"/>
      <c r="G16" s="351"/>
    </row>
    <row r="17" spans="1:7" ht="14.45" customHeight="1">
      <c r="A17" s="269"/>
      <c r="C17" s="189"/>
      <c r="D17" s="985"/>
      <c r="E17" s="985"/>
      <c r="F17" s="985"/>
      <c r="G17" s="351"/>
    </row>
    <row r="18" spans="1:7" ht="12.75">
      <c r="A18" s="189"/>
      <c r="C18" s="189"/>
      <c r="D18" s="985"/>
      <c r="E18" s="985"/>
      <c r="F18" s="985"/>
      <c r="G18" s="351"/>
    </row>
    <row r="19" spans="1:7" ht="12.75">
      <c r="A19" s="189"/>
      <c r="C19" s="189"/>
      <c r="D19" s="24"/>
      <c r="E19" s="126" t="s">
        <v>2051</v>
      </c>
      <c r="F19" s="24"/>
      <c r="G19" s="351"/>
    </row>
    <row r="20" spans="1:7" ht="12.75">
      <c r="A20" s="189"/>
      <c r="B20" s="189"/>
      <c r="C20" s="189"/>
    </row>
    <row r="21" spans="1:7" ht="14.25">
      <c r="A21" s="269"/>
      <c r="B21" s="606" t="s">
        <v>79</v>
      </c>
      <c r="D21" s="977" t="s">
        <v>2052</v>
      </c>
      <c r="E21" s="985"/>
      <c r="F21" s="985"/>
    </row>
    <row r="22" spans="1:7" ht="12.75">
      <c r="D22" s="985"/>
      <c r="E22" s="985"/>
      <c r="F22" s="985"/>
    </row>
    <row r="23" spans="1:7" ht="12.75">
      <c r="D23" s="100"/>
      <c r="E23" s="102" t="s">
        <v>2053</v>
      </c>
      <c r="F23" s="100"/>
    </row>
    <row r="24" spans="1:7" ht="14.25">
      <c r="A24" s="269"/>
      <c r="B24" s="269"/>
      <c r="D24" s="44"/>
    </row>
    <row r="25" spans="1:7" ht="14.25">
      <c r="A25" s="269"/>
      <c r="B25" s="606" t="s">
        <v>79</v>
      </c>
      <c r="D25" s="985" t="s">
        <v>1407</v>
      </c>
      <c r="E25" s="985"/>
      <c r="F25" s="985"/>
    </row>
    <row r="26" spans="1:7" ht="14.25">
      <c r="A26" s="269"/>
      <c r="B26" s="269"/>
      <c r="D26" s="985"/>
      <c r="E26" s="985"/>
      <c r="F26" s="985"/>
    </row>
    <row r="27" spans="1:7" ht="14.25">
      <c r="A27" s="269"/>
      <c r="B27" s="269"/>
      <c r="D27" s="44"/>
    </row>
    <row r="28" spans="1:7" ht="14.25" customHeight="1">
      <c r="A28" s="269"/>
      <c r="B28" s="606" t="s">
        <v>79</v>
      </c>
      <c r="D28" s="977" t="s">
        <v>2120</v>
      </c>
      <c r="E28" s="977"/>
      <c r="F28" s="977"/>
    </row>
    <row r="29" spans="1:7" ht="14.25">
      <c r="A29" s="269"/>
      <c r="B29" s="269"/>
      <c r="D29" s="977"/>
      <c r="E29" s="977"/>
      <c r="F29" s="977"/>
    </row>
    <row r="30" spans="1:7" ht="14.25">
      <c r="A30" s="269"/>
      <c r="B30" s="269"/>
      <c r="D30" s="977"/>
      <c r="E30" s="977"/>
      <c r="F30" s="977"/>
    </row>
    <row r="31" spans="1:7" ht="14.25">
      <c r="A31" s="269"/>
      <c r="B31" s="269"/>
      <c r="D31" s="977"/>
      <c r="E31" s="977"/>
      <c r="F31" s="977"/>
    </row>
    <row r="32" spans="1:7" ht="14.25">
      <c r="A32" s="269"/>
      <c r="B32" s="269"/>
      <c r="D32" s="977"/>
      <c r="E32" s="977"/>
      <c r="F32" s="977"/>
    </row>
    <row r="33" spans="1:6" ht="14.25">
      <c r="A33" s="269"/>
      <c r="B33" s="269"/>
      <c r="D33" s="573"/>
      <c r="F33" s="609"/>
    </row>
    <row r="34" spans="1:6" ht="14.45" customHeight="1">
      <c r="A34" s="269"/>
      <c r="B34" s="606" t="s">
        <v>79</v>
      </c>
      <c r="D34" s="985" t="s">
        <v>2121</v>
      </c>
      <c r="E34" s="985"/>
      <c r="F34" s="985"/>
    </row>
    <row r="35" spans="1:6" ht="14.25">
      <c r="A35" s="269"/>
      <c r="B35" s="269"/>
      <c r="D35" s="985"/>
      <c r="E35" s="985"/>
      <c r="F35" s="985"/>
    </row>
    <row r="36" spans="1:6" ht="14.25">
      <c r="A36" s="269"/>
      <c r="B36" s="269"/>
      <c r="D36" s="207"/>
      <c r="E36" s="207"/>
      <c r="F36" s="207"/>
    </row>
    <row r="37" spans="1:6" ht="14.25">
      <c r="A37" s="269"/>
      <c r="B37" s="606" t="s">
        <v>79</v>
      </c>
      <c r="D37" s="977" t="s">
        <v>1745</v>
      </c>
      <c r="E37" s="985"/>
      <c r="F37" s="985"/>
    </row>
    <row r="38" spans="1:6" ht="14.25">
      <c r="A38" s="269"/>
      <c r="B38" s="269"/>
      <c r="D38" s="985"/>
      <c r="E38" s="985"/>
      <c r="F38" s="985"/>
    </row>
    <row r="39" spans="1:6" ht="14.25">
      <c r="A39" s="269"/>
      <c r="B39" s="269"/>
      <c r="D39" s="985"/>
      <c r="E39" s="985"/>
      <c r="F39" s="985"/>
    </row>
    <row r="40" spans="1:6" ht="14.25">
      <c r="A40" s="269"/>
      <c r="B40" s="269"/>
      <c r="D40" s="985"/>
      <c r="E40" s="985"/>
      <c r="F40" s="985"/>
    </row>
    <row r="41" spans="1:6" ht="14.25">
      <c r="A41" s="269"/>
      <c r="B41" s="269"/>
      <c r="D41" s="985"/>
      <c r="E41" s="985"/>
      <c r="F41" s="985"/>
    </row>
    <row r="42" spans="1:6" ht="14.25">
      <c r="A42" s="269"/>
      <c r="B42" s="269"/>
      <c r="D42" s="985"/>
      <c r="E42" s="985"/>
      <c r="F42" s="985"/>
    </row>
    <row r="43" spans="1:6" ht="14.25">
      <c r="A43" s="269"/>
      <c r="B43" s="269"/>
      <c r="D43" s="985"/>
      <c r="E43" s="985"/>
      <c r="F43" s="985"/>
    </row>
    <row r="44" spans="1:6" ht="14.25">
      <c r="A44" s="269"/>
      <c r="B44" s="269"/>
      <c r="D44" s="985"/>
      <c r="E44" s="985"/>
      <c r="F44" s="985"/>
    </row>
    <row r="45" spans="1:6" ht="14.25">
      <c r="A45" s="269"/>
      <c r="B45" s="269"/>
      <c r="D45" s="24"/>
      <c r="E45" s="24"/>
      <c r="F45" s="24"/>
    </row>
    <row r="46" spans="1:6" ht="14.45" customHeight="1">
      <c r="A46" s="269"/>
      <c r="B46" s="606" t="s">
        <v>79</v>
      </c>
      <c r="D46" s="985" t="s">
        <v>1439</v>
      </c>
      <c r="E46" s="985"/>
      <c r="F46" s="985"/>
    </row>
    <row r="47" spans="1:6" ht="14.25">
      <c r="A47" s="269"/>
      <c r="B47" s="269"/>
      <c r="D47" s="985"/>
      <c r="E47" s="985"/>
      <c r="F47" s="985"/>
    </row>
    <row r="48" spans="1:6" ht="14.25">
      <c r="A48" s="269"/>
      <c r="B48" s="269"/>
      <c r="D48" s="985"/>
      <c r="E48" s="985"/>
      <c r="F48" s="985"/>
    </row>
    <row r="49" spans="1:6" ht="14.25">
      <c r="A49" s="269"/>
      <c r="B49" s="269"/>
      <c r="D49" s="985"/>
      <c r="E49" s="985"/>
      <c r="F49" s="985"/>
    </row>
    <row r="50" spans="1:6" ht="14.25">
      <c r="A50" s="269"/>
      <c r="B50" s="269"/>
      <c r="D50" s="985"/>
      <c r="E50" s="985"/>
      <c r="F50" s="985"/>
    </row>
    <row r="51" spans="1:6" ht="14.25">
      <c r="A51" s="269"/>
      <c r="B51" s="269"/>
      <c r="D51" s="44"/>
    </row>
    <row r="52" spans="1:6" ht="14.25">
      <c r="A52" s="269"/>
      <c r="B52" s="606" t="s">
        <v>79</v>
      </c>
      <c r="D52" s="977" t="s">
        <v>1873</v>
      </c>
      <c r="E52" s="985"/>
      <c r="F52" s="985"/>
    </row>
    <row r="53" spans="1:6" ht="14.25">
      <c r="A53" s="269"/>
      <c r="B53" s="269"/>
      <c r="D53" s="985"/>
      <c r="E53" s="985"/>
      <c r="F53" s="985"/>
    </row>
    <row r="54" spans="1:6" ht="14.25">
      <c r="A54" s="269"/>
      <c r="B54" s="269"/>
      <c r="D54" s="985"/>
      <c r="E54" s="985"/>
      <c r="F54" s="985"/>
    </row>
    <row r="55" spans="1:6" ht="14.25">
      <c r="A55" s="269"/>
      <c r="B55" s="269"/>
      <c r="D55" s="985"/>
      <c r="E55" s="985"/>
      <c r="F55" s="985"/>
    </row>
    <row r="56" spans="1:6" ht="14.25">
      <c r="A56" s="269"/>
      <c r="B56" s="269"/>
      <c r="D56" s="985"/>
      <c r="E56" s="985"/>
      <c r="F56" s="985"/>
    </row>
    <row r="57" spans="1:6" ht="15" customHeight="1">
      <c r="A57" s="269"/>
      <c r="B57" s="269"/>
      <c r="D57" s="985"/>
      <c r="E57" s="985"/>
      <c r="F57" s="985"/>
    </row>
    <row r="58" spans="1:6" ht="14.25">
      <c r="A58" s="269"/>
      <c r="B58" s="269"/>
      <c r="D58"/>
    </row>
    <row r="59" spans="1:6" ht="14.25">
      <c r="A59" s="269"/>
      <c r="B59" s="606" t="s">
        <v>79</v>
      </c>
      <c r="D59" s="977" t="s">
        <v>1915</v>
      </c>
      <c r="E59" s="985"/>
      <c r="F59" s="985"/>
    </row>
    <row r="60" spans="1:6" ht="14.25">
      <c r="A60" s="269"/>
      <c r="B60" s="269"/>
      <c r="D60" s="985"/>
      <c r="E60" s="985"/>
      <c r="F60" s="985"/>
    </row>
    <row r="61" spans="1:6" ht="14.25">
      <c r="A61" s="269"/>
      <c r="B61" s="269"/>
      <c r="D61" s="985"/>
      <c r="E61" s="985"/>
      <c r="F61" s="985"/>
    </row>
    <row r="62" spans="1:6" ht="14.25">
      <c r="A62" s="269"/>
      <c r="B62" s="269"/>
      <c r="D62" s="985"/>
      <c r="E62" s="985"/>
      <c r="F62" s="985"/>
    </row>
    <row r="63" spans="1:6" ht="17.25" customHeight="1">
      <c r="A63" s="269"/>
      <c r="B63" s="269"/>
      <c r="D63" s="985"/>
      <c r="E63" s="985"/>
      <c r="F63" s="985"/>
    </row>
    <row r="64" spans="1:6" ht="14.25" customHeight="1">
      <c r="A64" s="269"/>
      <c r="B64" s="606" t="s">
        <v>79</v>
      </c>
      <c r="D64" s="985" t="s">
        <v>2122</v>
      </c>
      <c r="E64" s="985"/>
      <c r="F64" s="985"/>
    </row>
    <row r="65" spans="1:6" ht="15" customHeight="1">
      <c r="A65" s="269"/>
      <c r="B65" s="269"/>
      <c r="D65" s="985"/>
      <c r="E65" s="985"/>
      <c r="F65" s="985"/>
    </row>
    <row r="66" spans="1:6" ht="21.6" customHeight="1">
      <c r="A66" s="269"/>
      <c r="B66" s="269"/>
      <c r="D66" s="985"/>
      <c r="E66" s="985"/>
      <c r="F66" s="985"/>
    </row>
    <row r="67" spans="1:6" ht="14.25">
      <c r="A67" s="269"/>
      <c r="B67" s="269"/>
    </row>
    <row r="68" spans="1:6" ht="14.25" customHeight="1">
      <c r="A68" s="269"/>
      <c r="B68" s="606" t="s">
        <v>79</v>
      </c>
      <c r="D68" s="977" t="s">
        <v>2054</v>
      </c>
      <c r="E68" s="985"/>
      <c r="F68" s="985"/>
    </row>
    <row r="69" spans="1:6" ht="12.75">
      <c r="D69" s="985"/>
      <c r="E69" s="985"/>
      <c r="F69" s="985"/>
    </row>
    <row r="70" spans="1:6" ht="12.75">
      <c r="D70" s="985"/>
      <c r="E70" s="985"/>
      <c r="F70" s="985"/>
    </row>
    <row r="71" spans="1:6" ht="14.25">
      <c r="A71" s="269"/>
      <c r="B71" s="269"/>
      <c r="D71" s="207"/>
      <c r="E71" s="126" t="s">
        <v>2051</v>
      </c>
      <c r="F71" s="207"/>
    </row>
    <row r="72" spans="1:6" ht="14.25">
      <c r="A72" s="269"/>
      <c r="B72" s="269"/>
    </row>
    <row r="73" spans="1:6" ht="14.25">
      <c r="A73" s="269"/>
      <c r="B73" s="606" t="s">
        <v>79</v>
      </c>
      <c r="D73" s="985" t="s">
        <v>1538</v>
      </c>
      <c r="E73" s="985"/>
      <c r="F73" s="985"/>
    </row>
    <row r="74" spans="1:6" ht="12.75">
      <c r="D74" s="985"/>
      <c r="E74" s="985"/>
      <c r="F74" s="985"/>
    </row>
    <row r="75" spans="1:6" ht="12.75">
      <c r="D75" s="985"/>
      <c r="E75" s="985"/>
      <c r="F75" s="985"/>
    </row>
    <row r="76" spans="1:6" ht="12.75"/>
    <row r="77" spans="1:6" ht="14.25">
      <c r="A77" s="269" t="s">
        <v>229</v>
      </c>
      <c r="B77" s="606" t="s">
        <v>79</v>
      </c>
      <c r="D77" s="985" t="s">
        <v>1442</v>
      </c>
      <c r="E77" s="985"/>
      <c r="F77" s="985"/>
    </row>
    <row r="78" spans="1:6" ht="12.75">
      <c r="D78" s="985"/>
      <c r="E78" s="985"/>
      <c r="F78" s="985"/>
    </row>
    <row r="79" spans="1:6" ht="12.75"/>
    <row r="80" spans="1:6" ht="14.25">
      <c r="A80" s="269" t="s">
        <v>229</v>
      </c>
      <c r="B80" s="606" t="s">
        <v>79</v>
      </c>
      <c r="D80" s="985" t="s">
        <v>1443</v>
      </c>
      <c r="E80" s="985"/>
      <c r="F80" s="985"/>
    </row>
    <row r="81" spans="1:7" ht="12.75">
      <c r="D81" s="985"/>
      <c r="E81" s="985"/>
      <c r="F81" s="985"/>
    </row>
    <row r="82" spans="1:7" ht="12.75">
      <c r="D82" s="985"/>
      <c r="E82" s="985"/>
      <c r="F82" s="985"/>
    </row>
    <row r="83" spans="1:7" ht="12.75">
      <c r="D83" s="44"/>
    </row>
    <row r="84" spans="1:7" ht="14.25">
      <c r="A84" s="269" t="s">
        <v>229</v>
      </c>
      <c r="B84" s="606" t="s">
        <v>79</v>
      </c>
      <c r="D84" s="985" t="s">
        <v>1444</v>
      </c>
      <c r="E84" s="985"/>
      <c r="F84" s="985"/>
    </row>
    <row r="85" spans="1:7" ht="12.75">
      <c r="D85" s="985"/>
      <c r="E85" s="985"/>
      <c r="F85" s="985"/>
    </row>
    <row r="86" spans="1:7" ht="12.75"/>
    <row r="87" spans="1:7" ht="12.75">
      <c r="A87" s="1038" t="s">
        <v>1379</v>
      </c>
      <c r="B87" s="1038"/>
      <c r="C87" s="1038"/>
      <c r="D87" s="1038"/>
      <c r="E87" s="1038"/>
      <c r="F87" s="1038"/>
      <c r="G87" s="1038"/>
    </row>
    <row r="88" spans="1:7" ht="12.75">
      <c r="E88"/>
      <c r="F88"/>
      <c r="G88"/>
    </row>
    <row r="89" spans="1:7" ht="13.7" customHeight="1">
      <c r="C89" s="587"/>
      <c r="D89" s="1011" t="s">
        <v>1380</v>
      </c>
      <c r="E89" s="1011"/>
      <c r="F89" s="1011"/>
      <c r="G89"/>
    </row>
    <row r="90" spans="1:7" ht="13.7" customHeight="1">
      <c r="A90" s="44"/>
      <c r="B90" s="44"/>
      <c r="D90" s="985" t="s">
        <v>1541</v>
      </c>
      <c r="E90" s="985"/>
      <c r="F90" s="985"/>
      <c r="G90"/>
    </row>
    <row r="91" spans="1:7" ht="12.75">
      <c r="A91" s="44"/>
      <c r="B91" s="44"/>
      <c r="E91"/>
      <c r="F91"/>
      <c r="G91"/>
    </row>
    <row r="92" spans="1:7" ht="14.25" customHeight="1">
      <c r="A92" s="269"/>
      <c r="B92" s="606" t="s">
        <v>79</v>
      </c>
      <c r="D92" s="977" t="s">
        <v>1846</v>
      </c>
      <c r="E92" s="977"/>
      <c r="F92" s="977"/>
      <c r="G92"/>
    </row>
    <row r="93" spans="1:7" ht="14.45" customHeight="1">
      <c r="A93" s="269"/>
      <c r="D93" s="977"/>
      <c r="E93" s="977"/>
      <c r="F93" s="977"/>
      <c r="G93"/>
    </row>
    <row r="94" spans="1:7" ht="14.25">
      <c r="A94" s="269"/>
      <c r="B94" s="269"/>
      <c r="D94" s="977"/>
      <c r="E94" s="977"/>
      <c r="F94" s="977"/>
      <c r="G94"/>
    </row>
    <row r="95" spans="1:7" ht="14.25">
      <c r="A95" s="269"/>
      <c r="B95" s="269"/>
      <c r="D95" s="977"/>
      <c r="E95" s="977"/>
      <c r="F95" s="977"/>
      <c r="G95"/>
    </row>
    <row r="96" spans="1:7" ht="14.25">
      <c r="A96" s="269"/>
      <c r="B96" s="269"/>
      <c r="D96" s="977"/>
      <c r="E96" s="977"/>
      <c r="F96" s="977"/>
      <c r="G96"/>
    </row>
    <row r="97" spans="1:7" ht="14.25">
      <c r="A97" s="269"/>
      <c r="B97" s="269"/>
      <c r="D97" s="977"/>
      <c r="E97" s="977"/>
      <c r="F97" s="977"/>
      <c r="G97"/>
    </row>
    <row r="98" spans="1:7" ht="14.25">
      <c r="A98" s="269"/>
      <c r="B98" s="269"/>
      <c r="D98" s="977"/>
      <c r="E98" s="977"/>
      <c r="F98" s="977"/>
      <c r="G98"/>
    </row>
    <row r="99" spans="1:7" ht="14.25">
      <c r="A99" s="269"/>
      <c r="B99" s="269"/>
      <c r="D99" s="977"/>
      <c r="E99" s="977"/>
      <c r="F99" s="977"/>
      <c r="G99"/>
    </row>
    <row r="100" spans="1:7" ht="14.25">
      <c r="A100" s="269"/>
      <c r="B100" s="269"/>
      <c r="D100" s="977"/>
      <c r="E100" s="977"/>
      <c r="F100" s="977"/>
      <c r="G100"/>
    </row>
    <row r="101" spans="1:7" ht="14.45" customHeight="1">
      <c r="A101" s="269"/>
      <c r="B101" s="606" t="s">
        <v>79</v>
      </c>
      <c r="D101" s="1031" t="s">
        <v>1847</v>
      </c>
      <c r="E101" s="1031"/>
      <c r="F101" s="1031"/>
      <c r="G101"/>
    </row>
    <row r="102" spans="1:7" ht="14.25">
      <c r="A102" s="269"/>
      <c r="B102" s="269"/>
      <c r="D102" s="1031"/>
      <c r="E102" s="1031"/>
      <c r="F102" s="1031"/>
      <c r="G102"/>
    </row>
    <row r="103" spans="1:7" ht="14.25">
      <c r="A103" s="269"/>
      <c r="B103" s="269"/>
      <c r="D103" s="1031"/>
      <c r="E103" s="1031"/>
      <c r="F103" s="1031"/>
      <c r="G103"/>
    </row>
    <row r="104" spans="1:7" ht="14.25">
      <c r="A104" s="269"/>
      <c r="B104" s="269"/>
      <c r="D104" s="1031"/>
      <c r="E104" s="1031"/>
      <c r="F104" s="1031"/>
      <c r="G104"/>
    </row>
    <row r="105" spans="1:7" ht="14.25">
      <c r="A105" s="269"/>
      <c r="B105" s="269"/>
      <c r="D105" s="1031"/>
      <c r="E105" s="1031"/>
      <c r="F105" s="1031"/>
      <c r="G105"/>
    </row>
    <row r="106" spans="1:7" ht="14.25">
      <c r="A106" s="269"/>
      <c r="B106" s="269"/>
      <c r="D106" s="1031"/>
      <c r="E106" s="1031"/>
      <c r="F106" s="1031"/>
      <c r="G106"/>
    </row>
    <row r="107" spans="1:7" ht="14.25">
      <c r="A107" s="269"/>
      <c r="B107" s="269"/>
      <c r="D107" s="1031"/>
      <c r="E107" s="1031"/>
      <c r="F107" s="1031"/>
      <c r="G107"/>
    </row>
    <row r="108" spans="1:7" ht="14.25">
      <c r="A108" s="269"/>
      <c r="B108" s="269"/>
      <c r="D108" s="1031"/>
      <c r="E108" s="1031"/>
      <c r="F108" s="1031"/>
      <c r="G108"/>
    </row>
    <row r="109" spans="1:7" ht="14.25">
      <c r="A109" s="269"/>
      <c r="B109" s="269"/>
      <c r="D109" s="1031"/>
      <c r="E109" s="1031"/>
      <c r="F109" s="1031"/>
      <c r="G109"/>
    </row>
    <row r="110" spans="1:7" ht="14.25">
      <c r="A110" s="269"/>
      <c r="B110" s="269"/>
      <c r="D110" s="1031"/>
      <c r="E110" s="1031"/>
      <c r="F110" s="1031"/>
      <c r="G110"/>
    </row>
    <row r="111" spans="1:7" ht="14.25">
      <c r="A111" s="269"/>
      <c r="B111" s="269"/>
      <c r="D111" s="1031"/>
      <c r="E111" s="1031"/>
      <c r="F111" s="1031"/>
      <c r="G111"/>
    </row>
    <row r="112" spans="1:7" ht="14.25">
      <c r="A112" s="269"/>
      <c r="B112" s="269"/>
      <c r="D112" s="1031"/>
      <c r="E112" s="1031"/>
      <c r="F112" s="1031"/>
      <c r="G112"/>
    </row>
    <row r="113" spans="1:7" ht="14.25">
      <c r="A113" s="269"/>
      <c r="B113" s="269"/>
      <c r="D113" s="1031"/>
      <c r="E113" s="1031"/>
      <c r="F113" s="1031"/>
      <c r="G113"/>
    </row>
    <row r="114" spans="1:7" ht="14.25">
      <c r="A114" s="269"/>
      <c r="B114" s="606" t="s">
        <v>79</v>
      </c>
      <c r="D114" s="977" t="s">
        <v>1542</v>
      </c>
      <c r="E114" s="985"/>
      <c r="F114" s="985"/>
      <c r="G114"/>
    </row>
    <row r="115" spans="1:7" ht="14.25">
      <c r="A115" s="269"/>
      <c r="B115" s="269"/>
      <c r="D115" s="985"/>
      <c r="E115" s="985"/>
      <c r="F115" s="985"/>
      <c r="G115"/>
    </row>
    <row r="116" spans="1:7" ht="14.25">
      <c r="A116" s="269"/>
      <c r="B116" s="269"/>
      <c r="D116" s="985"/>
      <c r="E116" s="985"/>
      <c r="F116" s="985"/>
      <c r="G116"/>
    </row>
    <row r="117" spans="1:7" ht="14.25">
      <c r="A117" s="269"/>
      <c r="B117" s="269"/>
      <c r="D117" s="985"/>
      <c r="E117" s="985"/>
      <c r="F117" s="985"/>
      <c r="G117"/>
    </row>
    <row r="118" spans="1:7" ht="14.25">
      <c r="A118" s="269"/>
      <c r="B118" s="269"/>
      <c r="D118" s="985"/>
      <c r="E118" s="985"/>
      <c r="F118" s="985"/>
      <c r="G118"/>
    </row>
    <row r="119" spans="1:7" ht="14.25">
      <c r="A119" s="269"/>
      <c r="B119" s="269"/>
      <c r="D119" s="985"/>
      <c r="E119" s="985"/>
      <c r="F119" s="985"/>
      <c r="G119"/>
    </row>
    <row r="120" spans="1:7" ht="14.25">
      <c r="A120" s="269"/>
      <c r="B120" s="269"/>
      <c r="D120" s="985"/>
      <c r="E120" s="985"/>
      <c r="F120" s="985"/>
      <c r="G120"/>
    </row>
    <row r="121" spans="1:7" ht="14.25">
      <c r="A121" s="269"/>
      <c r="B121" s="269"/>
      <c r="D121" s="985"/>
      <c r="E121" s="985"/>
      <c r="F121" s="985"/>
      <c r="G121"/>
    </row>
    <row r="122" spans="1:7" ht="14.25">
      <c r="A122" s="269"/>
      <c r="B122" s="606" t="s">
        <v>79</v>
      </c>
      <c r="D122" s="977" t="s">
        <v>2297</v>
      </c>
      <c r="E122" s="977"/>
      <c r="F122" s="977"/>
      <c r="G122"/>
    </row>
    <row r="123" spans="1:7" ht="14.25">
      <c r="A123" s="269"/>
      <c r="B123" s="269"/>
      <c r="D123" s="977"/>
      <c r="E123" s="977"/>
      <c r="F123" s="977"/>
      <c r="G123"/>
    </row>
    <row r="124" spans="1:7" ht="14.25">
      <c r="A124" s="269"/>
      <c r="B124" s="269"/>
      <c r="D124" s="977"/>
      <c r="E124" s="977"/>
      <c r="F124" s="977"/>
      <c r="G124"/>
    </row>
    <row r="125" spans="1:7" ht="14.25">
      <c r="A125" s="269"/>
      <c r="B125" s="269"/>
      <c r="D125" s="977"/>
      <c r="E125" s="977"/>
      <c r="F125" s="977"/>
      <c r="G125"/>
    </row>
    <row r="126" spans="1:7" ht="14.25">
      <c r="A126" s="269"/>
      <c r="B126" s="269"/>
      <c r="D126" s="977"/>
      <c r="E126" s="977"/>
      <c r="F126" s="977"/>
      <c r="G126"/>
    </row>
    <row r="127" spans="1:7" ht="14.25">
      <c r="A127" s="269"/>
      <c r="B127" s="269"/>
      <c r="D127" s="977"/>
      <c r="E127" s="977"/>
      <c r="F127" s="977"/>
      <c r="G127"/>
    </row>
    <row r="128" spans="1:7" ht="17.25" customHeight="1">
      <c r="A128" s="269"/>
      <c r="B128" s="269"/>
      <c r="D128" s="977"/>
      <c r="E128" s="977"/>
      <c r="F128" s="977"/>
      <c r="G128"/>
    </row>
    <row r="129" spans="1:7" ht="14.25">
      <c r="A129" s="269"/>
      <c r="B129" s="269"/>
      <c r="D129" s="24"/>
      <c r="E129" s="24"/>
      <c r="F129" s="24"/>
      <c r="G129"/>
    </row>
    <row r="130" spans="1:7" ht="12.75" customHeight="1">
      <c r="A130" s="269"/>
      <c r="B130" s="606" t="s">
        <v>79</v>
      </c>
      <c r="D130" s="977" t="s">
        <v>1543</v>
      </c>
      <c r="E130" s="985"/>
      <c r="F130" s="985"/>
    </row>
    <row r="131" spans="1:7" ht="12.75">
      <c r="D131" s="985"/>
      <c r="E131" s="985"/>
      <c r="F131" s="985"/>
    </row>
    <row r="132" spans="1:7" ht="12.75">
      <c r="D132" s="985"/>
      <c r="E132" s="985"/>
      <c r="F132" s="985"/>
    </row>
    <row r="133" spans="1:7" ht="12.75">
      <c r="D133" s="985"/>
      <c r="E133" s="985"/>
      <c r="F133" s="985"/>
    </row>
    <row r="134" spans="1:7" ht="26.85" customHeight="1">
      <c r="D134" s="985"/>
      <c r="E134" s="985"/>
      <c r="F134" s="985"/>
    </row>
    <row r="135" spans="1:7" ht="12.75"/>
    <row r="136" spans="1:7" ht="14.25">
      <c r="A136" s="269"/>
      <c r="B136" s="606" t="s">
        <v>79</v>
      </c>
      <c r="D136" s="985" t="s">
        <v>1544</v>
      </c>
      <c r="E136" s="985"/>
      <c r="F136" s="985"/>
    </row>
    <row r="137" spans="1:7" s="321" customFormat="1" ht="13.9" customHeight="1">
      <c r="A137" s="314"/>
      <c r="B137" s="314"/>
      <c r="C137" s="314"/>
      <c r="D137" s="985"/>
      <c r="E137" s="985"/>
      <c r="F137" s="985"/>
      <c r="G137" s="354"/>
    </row>
    <row r="138" spans="1:7" ht="13.9" customHeight="1">
      <c r="D138" s="985"/>
      <c r="E138" s="985"/>
      <c r="F138" s="985"/>
    </row>
    <row r="139" spans="1:7" ht="13.9" customHeight="1">
      <c r="D139" s="985"/>
      <c r="E139" s="985"/>
      <c r="F139" s="985"/>
    </row>
    <row r="140" spans="1:7" ht="13.9" customHeight="1">
      <c r="D140" s="985"/>
      <c r="E140" s="985"/>
      <c r="F140" s="985"/>
    </row>
    <row r="141" spans="1:7" ht="13.9" customHeight="1">
      <c r="D141" s="985"/>
      <c r="E141" s="985"/>
      <c r="F141" s="985"/>
    </row>
    <row r="142" spans="1:7" ht="13.9" customHeight="1">
      <c r="D142" s="985"/>
      <c r="E142" s="985"/>
      <c r="F142" s="985"/>
      <c r="G142"/>
    </row>
    <row r="143" spans="1:7" ht="13.9" customHeight="1">
      <c r="D143" s="985"/>
      <c r="E143" s="985"/>
      <c r="F143" s="985"/>
      <c r="G143"/>
    </row>
    <row r="144" spans="1:7" ht="13.9" customHeight="1">
      <c r="D144" s="985"/>
      <c r="E144" s="985"/>
      <c r="F144" s="985"/>
      <c r="G144"/>
    </row>
    <row r="145" spans="1:7" ht="13.9" customHeight="1">
      <c r="D145" s="985"/>
      <c r="E145" s="985"/>
      <c r="F145" s="985"/>
      <c r="G145"/>
    </row>
    <row r="146" spans="1:7" ht="17.25" customHeight="1">
      <c r="D146" s="985"/>
      <c r="E146" s="985"/>
      <c r="F146" s="985"/>
      <c r="G146"/>
    </row>
    <row r="147" spans="1:7" ht="25.5" hidden="1" customHeight="1">
      <c r="D147" s="985"/>
      <c r="E147" s="985"/>
      <c r="F147" s="985"/>
      <c r="G147"/>
    </row>
    <row r="148" spans="1:7" ht="13.9" customHeight="1">
      <c r="G148"/>
    </row>
    <row r="149" spans="1:7" ht="13.9" customHeight="1">
      <c r="B149" s="606" t="s">
        <v>79</v>
      </c>
      <c r="D149" s="977" t="s">
        <v>2326</v>
      </c>
      <c r="E149" s="985"/>
      <c r="F149" s="985"/>
      <c r="G149"/>
    </row>
    <row r="150" spans="1:7" ht="13.9" customHeight="1">
      <c r="D150" s="985"/>
      <c r="E150" s="985"/>
      <c r="F150" s="985"/>
      <c r="G150"/>
    </row>
    <row r="151" spans="1:7" ht="13.9" customHeight="1">
      <c r="D151" s="985"/>
      <c r="E151" s="985"/>
      <c r="F151" s="985"/>
      <c r="G151"/>
    </row>
    <row r="152" spans="1:7" ht="13.9" customHeight="1">
      <c r="D152" s="985"/>
      <c r="E152" s="985"/>
      <c r="F152" s="985"/>
      <c r="G152"/>
    </row>
    <row r="153" spans="1:7" ht="13.9" customHeight="1">
      <c r="D153" s="985"/>
      <c r="E153" s="985"/>
      <c r="F153" s="985"/>
      <c r="G153"/>
    </row>
    <row r="154" spans="1:7" ht="13.9" hidden="1" customHeight="1">
      <c r="D154" s="985"/>
      <c r="E154" s="985"/>
      <c r="F154" s="985"/>
      <c r="G154"/>
    </row>
    <row r="155" spans="1:7" ht="13.9" hidden="1" customHeight="1">
      <c r="D155" s="985"/>
      <c r="E155" s="985"/>
      <c r="F155" s="985"/>
      <c r="G155"/>
    </row>
    <row r="156" spans="1:7" ht="13.9" customHeight="1">
      <c r="A156" s="18"/>
      <c r="B156" s="18"/>
      <c r="D156" s="985"/>
      <c r="E156" s="985"/>
      <c r="F156" s="985"/>
      <c r="G156"/>
    </row>
    <row r="157" spans="1:7" ht="13.9" customHeight="1">
      <c r="A157" s="18"/>
      <c r="B157" s="18"/>
      <c r="D157" s="985"/>
      <c r="E157" s="985"/>
      <c r="F157" s="985"/>
      <c r="G157"/>
    </row>
    <row r="158" spans="1:7" ht="13.9" customHeight="1">
      <c r="A158" s="18"/>
      <c r="B158" s="18"/>
      <c r="D158" s="985"/>
      <c r="E158" s="985"/>
      <c r="F158" s="985"/>
      <c r="G158"/>
    </row>
    <row r="159" spans="1:7" ht="13.9" customHeight="1">
      <c r="A159" s="18"/>
      <c r="B159" s="18"/>
      <c r="D159" s="985"/>
      <c r="E159" s="985"/>
      <c r="F159" s="985"/>
      <c r="G159"/>
    </row>
    <row r="160" spans="1:7" ht="13.9" customHeight="1">
      <c r="A160" s="18"/>
      <c r="B160" s="18"/>
      <c r="D160" s="985"/>
      <c r="E160" s="985"/>
      <c r="F160" s="985"/>
      <c r="G160"/>
    </row>
    <row r="161" spans="1:7" ht="13.9" customHeight="1">
      <c r="A161" s="18"/>
      <c r="B161" s="18"/>
      <c r="D161" s="985"/>
      <c r="E161" s="985"/>
      <c r="F161" s="985"/>
      <c r="G161"/>
    </row>
    <row r="162" spans="1:7" ht="13.9" customHeight="1">
      <c r="A162" s="18"/>
      <c r="B162" s="18"/>
      <c r="D162" s="985"/>
      <c r="E162" s="985"/>
      <c r="F162" s="985"/>
      <c r="G162"/>
    </row>
    <row r="163" spans="1:7" ht="13.9" customHeight="1">
      <c r="A163" s="18"/>
      <c r="B163" s="18"/>
      <c r="D163" s="985"/>
      <c r="E163" s="985"/>
      <c r="F163" s="985"/>
      <c r="G163"/>
    </row>
    <row r="164" spans="1:7" ht="13.9" customHeight="1">
      <c r="A164" s="18"/>
      <c r="B164" s="18"/>
      <c r="D164" s="1033" t="s">
        <v>1723</v>
      </c>
      <c r="E164" s="1033"/>
      <c r="F164" s="1033"/>
      <c r="G164"/>
    </row>
    <row r="165" spans="1:7" ht="13.9" customHeight="1">
      <c r="A165" s="18"/>
      <c r="B165" s="18"/>
      <c r="D165" s="44"/>
      <c r="G165"/>
    </row>
    <row r="166" spans="1:7" ht="13.9" customHeight="1">
      <c r="A166" s="269"/>
      <c r="B166" s="606" t="s">
        <v>79</v>
      </c>
      <c r="D166" s="1031" t="s">
        <v>2279</v>
      </c>
      <c r="E166" s="1032"/>
      <c r="F166" s="1032"/>
      <c r="G166"/>
    </row>
    <row r="167" spans="1:7" ht="13.9" customHeight="1">
      <c r="A167" s="269"/>
      <c r="B167" s="18"/>
      <c r="D167" s="1031"/>
      <c r="E167" s="1032"/>
      <c r="F167" s="1032"/>
      <c r="G167"/>
    </row>
    <row r="168" spans="1:7" ht="13.9" customHeight="1">
      <c r="A168" s="269"/>
      <c r="B168" s="18"/>
      <c r="D168" s="1032"/>
      <c r="E168" s="1032"/>
      <c r="F168" s="1032"/>
      <c r="G168"/>
    </row>
    <row r="169" spans="1:7" ht="13.9" customHeight="1">
      <c r="A169" s="269"/>
      <c r="B169" s="18"/>
      <c r="D169" s="1032"/>
      <c r="E169" s="1032"/>
      <c r="F169" s="1032"/>
      <c r="G169"/>
    </row>
    <row r="170" spans="1:7" ht="13.9" customHeight="1">
      <c r="A170" s="18"/>
      <c r="B170" s="18"/>
      <c r="D170" s="1032"/>
      <c r="E170" s="1032"/>
      <c r="F170" s="1032"/>
      <c r="G170"/>
    </row>
    <row r="171" spans="1:7" ht="13.9" customHeight="1">
      <c r="A171" s="18"/>
      <c r="B171" s="18"/>
      <c r="D171" s="44"/>
      <c r="G171"/>
    </row>
    <row r="172" spans="1:7" ht="13.9" customHeight="1">
      <c r="A172" s="269"/>
      <c r="B172" s="606" t="s">
        <v>79</v>
      </c>
      <c r="D172" s="1032" t="s">
        <v>1545</v>
      </c>
      <c r="E172" s="1032"/>
      <c r="F172" s="1032"/>
      <c r="G172"/>
    </row>
    <row r="173" spans="1:7" ht="13.9" customHeight="1">
      <c r="A173" s="18"/>
      <c r="B173" s="18"/>
      <c r="D173" s="1032"/>
      <c r="E173" s="1032"/>
      <c r="F173" s="1032"/>
    </row>
    <row r="174" spans="1:7" ht="13.9" customHeight="1">
      <c r="A174" s="18"/>
      <c r="B174" s="18"/>
      <c r="D174" s="1032"/>
      <c r="E174" s="1032"/>
      <c r="F174" s="1032"/>
    </row>
    <row r="175" spans="1:7" ht="13.9" customHeight="1">
      <c r="A175" s="18"/>
      <c r="B175" s="18"/>
      <c r="D175" s="1032"/>
      <c r="E175" s="1032"/>
      <c r="F175" s="1032"/>
    </row>
    <row r="176" spans="1:7" ht="13.9" customHeight="1">
      <c r="A176" s="18"/>
      <c r="B176" s="18"/>
      <c r="D176" s="44"/>
    </row>
    <row r="177" spans="1:7" ht="13.9" customHeight="1">
      <c r="A177" s="367"/>
      <c r="B177" s="606" t="s">
        <v>79</v>
      </c>
      <c r="C177" s="367"/>
      <c r="D177" s="1035" t="s">
        <v>2123</v>
      </c>
      <c r="E177" s="1035"/>
      <c r="F177" s="1035"/>
      <c r="G177" s="358"/>
    </row>
    <row r="178" spans="1:7" ht="13.9" customHeight="1">
      <c r="A178" s="367"/>
      <c r="B178" s="367"/>
      <c r="C178" s="367"/>
      <c r="D178" s="1035"/>
      <c r="E178" s="1035"/>
      <c r="F178" s="1035"/>
      <c r="G178" s="358"/>
    </row>
    <row r="179" spans="1:7" ht="13.9" customHeight="1">
      <c r="A179" s="367"/>
      <c r="B179" s="367"/>
      <c r="C179" s="367"/>
      <c r="D179" s="1035"/>
      <c r="E179" s="1035"/>
      <c r="F179" s="1035"/>
      <c r="G179" s="358"/>
    </row>
    <row r="180" spans="1:7" ht="12.75">
      <c r="A180" s="367"/>
      <c r="B180" s="367"/>
      <c r="C180" s="367"/>
      <c r="D180" s="369"/>
      <c r="E180" s="358"/>
      <c r="F180" s="358"/>
      <c r="G180" s="358"/>
    </row>
    <row r="181" spans="1:7" ht="12.75">
      <c r="A181" s="1038" t="s">
        <v>1382</v>
      </c>
      <c r="B181" s="1038"/>
      <c r="C181" s="1038"/>
      <c r="D181" s="1038"/>
      <c r="E181" s="1038"/>
      <c r="F181" s="1038"/>
      <c r="G181" s="1038"/>
    </row>
    <row r="182" spans="1:7" ht="12.75">
      <c r="D182" s="44"/>
    </row>
    <row r="183" spans="1:7" ht="12.75">
      <c r="C183" s="587"/>
      <c r="D183" s="1034" t="s">
        <v>1381</v>
      </c>
      <c r="E183" s="1034"/>
      <c r="F183" s="1034"/>
    </row>
    <row r="184" spans="1:7" ht="12.75">
      <c r="A184" s="188"/>
      <c r="B184" s="188"/>
      <c r="C184" s="188"/>
      <c r="D184" s="1036" t="s">
        <v>1414</v>
      </c>
      <c r="E184" s="1036"/>
      <c r="F184" s="1036"/>
    </row>
    <row r="185" spans="1:7" ht="12.75">
      <c r="A185" s="189"/>
      <c r="B185" s="189"/>
      <c r="C185" s="189"/>
    </row>
    <row r="186" spans="1:7" ht="14.25">
      <c r="A186" s="269"/>
      <c r="B186" s="606" t="s">
        <v>79</v>
      </c>
      <c r="D186" s="1037" t="s">
        <v>1725</v>
      </c>
      <c r="E186" s="1014"/>
      <c r="F186" s="1014"/>
    </row>
    <row r="187" spans="1:7" ht="14.25">
      <c r="A187" s="269"/>
      <c r="D187" s="310"/>
      <c r="E187" s="100"/>
      <c r="F187" s="100"/>
    </row>
    <row r="188" spans="1:7" ht="14.25">
      <c r="A188" s="269"/>
      <c r="B188" s="606" t="s">
        <v>79</v>
      </c>
      <c r="D188" s="1014" t="s">
        <v>1546</v>
      </c>
      <c r="E188" s="1014"/>
      <c r="F188" s="1014"/>
    </row>
    <row r="189" spans="1:7" ht="14.25">
      <c r="A189" s="269"/>
      <c r="D189" s="100"/>
      <c r="E189" s="100"/>
      <c r="F189" s="100"/>
    </row>
    <row r="190" spans="1:7" ht="14.25">
      <c r="A190" s="269"/>
      <c r="B190" s="606" t="s">
        <v>79</v>
      </c>
      <c r="D190" s="1039" t="s">
        <v>1799</v>
      </c>
      <c r="E190" s="1039"/>
      <c r="F190" s="1039"/>
    </row>
    <row r="191" spans="1:7" ht="13.7" customHeight="1">
      <c r="A191" s="269"/>
      <c r="D191" s="41" t="s">
        <v>900</v>
      </c>
      <c r="E191" s="977" t="s">
        <v>2118</v>
      </c>
      <c r="F191" s="977"/>
    </row>
    <row r="192" spans="1:7" ht="14.25">
      <c r="A192" s="269"/>
      <c r="D192" s="773"/>
      <c r="E192" s="977"/>
      <c r="F192" s="977"/>
    </row>
    <row r="193" spans="1:6" ht="14.25">
      <c r="A193" s="269"/>
      <c r="D193" s="773"/>
      <c r="E193" s="977"/>
      <c r="F193" s="977"/>
    </row>
    <row r="194" spans="1:6" ht="14.25">
      <c r="A194" s="269"/>
      <c r="D194"/>
      <c r="E194" s="977"/>
      <c r="F194" s="977"/>
    </row>
    <row r="195" spans="1:6" ht="13.7" customHeight="1">
      <c r="A195" s="269"/>
      <c r="D195" s="773" t="s">
        <v>901</v>
      </c>
      <c r="E195" s="977" t="s">
        <v>1800</v>
      </c>
      <c r="F195" s="977"/>
    </row>
    <row r="196" spans="1:6" ht="13.7" customHeight="1">
      <c r="A196" s="269"/>
      <c r="D196" s="773"/>
      <c r="E196" s="977"/>
      <c r="F196" s="977"/>
    </row>
    <row r="197" spans="1:6" ht="13.7" customHeight="1">
      <c r="A197" s="269"/>
      <c r="D197" s="773"/>
      <c r="E197" s="977"/>
      <c r="F197" s="977"/>
    </row>
    <row r="198" spans="1:6" ht="13.7" customHeight="1">
      <c r="A198" s="269"/>
      <c r="D198" s="773"/>
      <c r="E198" s="977"/>
      <c r="F198" s="977"/>
    </row>
    <row r="199" spans="1:6" ht="13.7" customHeight="1">
      <c r="A199" s="269"/>
      <c r="D199" s="773"/>
      <c r="E199" s="977"/>
      <c r="F199" s="977"/>
    </row>
    <row r="200" spans="1:6" ht="14.25">
      <c r="A200" s="269"/>
      <c r="D200"/>
      <c r="E200" s="977"/>
      <c r="F200" s="977"/>
    </row>
    <row r="201" spans="1:6" ht="14.25">
      <c r="A201" s="269"/>
      <c r="D201"/>
      <c r="E201" s="977"/>
      <c r="F201" s="977"/>
    </row>
    <row r="202" spans="1:6" ht="12.75"/>
    <row r="203" spans="1:6" ht="14.25">
      <c r="A203" s="269"/>
      <c r="B203" s="606" t="s">
        <v>79</v>
      </c>
      <c r="D203" s="977" t="s">
        <v>2280</v>
      </c>
      <c r="E203" s="985"/>
      <c r="F203" s="985"/>
    </row>
    <row r="204" spans="1:6" ht="14.25">
      <c r="A204" s="269"/>
      <c r="B204" s="269"/>
      <c r="D204" s="985"/>
      <c r="E204" s="985"/>
      <c r="F204" s="985"/>
    </row>
    <row r="205" spans="1:6" ht="14.25">
      <c r="A205" s="269"/>
      <c r="B205" s="269"/>
      <c r="D205" s="985"/>
      <c r="E205" s="985"/>
      <c r="F205" s="985"/>
    </row>
    <row r="206" spans="1:6" ht="14.25">
      <c r="A206" s="269"/>
      <c r="B206" s="269"/>
      <c r="D206" s="985"/>
      <c r="E206" s="985"/>
      <c r="F206" s="985"/>
    </row>
    <row r="207" spans="1:6" ht="12.75">
      <c r="D207" s="1033" t="s">
        <v>2320</v>
      </c>
      <c r="E207" s="1033"/>
      <c r="F207" s="1033"/>
    </row>
    <row r="208" spans="1:6" ht="12.75">
      <c r="D208" s="622"/>
      <c r="E208" s="622"/>
      <c r="F208" s="622"/>
    </row>
    <row r="209" spans="1:7" ht="14.25">
      <c r="A209" s="269"/>
      <c r="B209" s="606" t="s">
        <v>79</v>
      </c>
      <c r="D209" s="1006" t="s">
        <v>2281</v>
      </c>
      <c r="E209" s="1004"/>
      <c r="F209" s="1004"/>
    </row>
    <row r="210" spans="1:7" ht="12.75"/>
    <row r="211" spans="1:7" ht="12.75">
      <c r="A211" s="1038" t="s">
        <v>1384</v>
      </c>
      <c r="B211" s="1038"/>
      <c r="C211" s="1038"/>
      <c r="D211" s="1038"/>
      <c r="E211" s="1038"/>
      <c r="F211" s="1038"/>
      <c r="G211" s="1038"/>
    </row>
    <row r="212" spans="1:7" ht="12.75"/>
    <row r="213" spans="1:7" ht="12.75">
      <c r="C213" s="588"/>
      <c r="D213" s="1034" t="s">
        <v>1383</v>
      </c>
      <c r="E213" s="1034"/>
      <c r="F213" s="1034"/>
    </row>
    <row r="214" spans="1:7" ht="12.75">
      <c r="A214" s="589"/>
      <c r="B214" s="589"/>
      <c r="C214" s="588"/>
      <c r="D214" s="1034" t="s">
        <v>697</v>
      </c>
      <c r="E214" s="1034"/>
      <c r="F214" s="1034"/>
    </row>
    <row r="215" spans="1:7" ht="12.75">
      <c r="A215" s="188"/>
      <c r="B215" s="188"/>
      <c r="C215" s="188"/>
      <c r="D215" s="1014" t="s">
        <v>1415</v>
      </c>
      <c r="E215" s="1014"/>
      <c r="F215" s="1014"/>
    </row>
    <row r="216" spans="1:7" ht="12.75">
      <c r="A216" s="188"/>
      <c r="B216" s="188"/>
      <c r="C216" s="188"/>
    </row>
    <row r="217" spans="1:7" ht="12.75">
      <c r="A217" s="188"/>
      <c r="B217" s="188"/>
      <c r="C217" s="188"/>
      <c r="D217" s="985" t="s">
        <v>1425</v>
      </c>
      <c r="E217" s="985"/>
      <c r="F217" s="985"/>
    </row>
    <row r="218" spans="1:7" ht="12.75">
      <c r="A218" s="188"/>
      <c r="B218" s="188"/>
      <c r="C218" s="188"/>
      <c r="D218" s="985"/>
      <c r="E218" s="985"/>
      <c r="F218" s="985"/>
    </row>
    <row r="219" spans="1:7" ht="12.75">
      <c r="A219" s="188"/>
      <c r="B219" s="188"/>
      <c r="C219" s="188"/>
      <c r="D219" s="985"/>
      <c r="E219" s="985"/>
      <c r="F219" s="985"/>
    </row>
    <row r="220" spans="1:7" ht="12.75">
      <c r="A220" s="188"/>
      <c r="B220" s="188"/>
      <c r="C220" s="188"/>
      <c r="D220" s="985"/>
      <c r="E220" s="985"/>
      <c r="F220" s="985"/>
    </row>
    <row r="221" spans="1:7" ht="12.75">
      <c r="A221" s="188"/>
      <c r="B221" s="188"/>
      <c r="C221" s="188"/>
    </row>
    <row r="222" spans="1:7" ht="12.75">
      <c r="A222" s="188"/>
      <c r="B222" s="188"/>
      <c r="C222" s="188"/>
      <c r="D222" s="977" t="s">
        <v>2124</v>
      </c>
      <c r="E222" s="985"/>
      <c r="F222" s="985"/>
    </row>
    <row r="223" spans="1:7" ht="12.75">
      <c r="A223" s="188"/>
      <c r="B223" s="188"/>
      <c r="C223" s="188"/>
      <c r="D223" s="985"/>
      <c r="E223" s="985"/>
      <c r="F223" s="985"/>
    </row>
    <row r="224" spans="1:7" ht="12.75">
      <c r="A224" s="188"/>
      <c r="B224" s="188"/>
      <c r="C224" s="188"/>
      <c r="D224" s="985"/>
      <c r="E224" s="985"/>
      <c r="F224" s="985"/>
    </row>
    <row r="225" spans="1:6" ht="12.75">
      <c r="A225" s="188"/>
      <c r="B225" s="188"/>
      <c r="C225" s="188"/>
      <c r="D225" s="985"/>
      <c r="E225" s="985"/>
      <c r="F225" s="985"/>
    </row>
    <row r="226" spans="1:6" ht="12.75">
      <c r="A226" s="188"/>
      <c r="B226" s="188"/>
      <c r="C226" s="188"/>
      <c r="D226" s="985"/>
      <c r="E226" s="985"/>
      <c r="F226" s="985"/>
    </row>
    <row r="227" spans="1:6" ht="12.75">
      <c r="A227" s="188"/>
      <c r="B227" s="188"/>
      <c r="C227" s="188"/>
      <c r="D227" s="985"/>
      <c r="E227" s="985"/>
      <c r="F227" s="985"/>
    </row>
    <row r="228" spans="1:6" ht="12.75">
      <c r="A228" s="189"/>
      <c r="B228" s="189"/>
      <c r="C228" s="189"/>
    </row>
    <row r="229" spans="1:6" ht="14.45" customHeight="1">
      <c r="A229" s="269"/>
      <c r="B229" s="606" t="s">
        <v>79</v>
      </c>
      <c r="C229" s="189"/>
      <c r="D229" s="1004" t="s">
        <v>292</v>
      </c>
      <c r="E229" s="1004"/>
      <c r="F229" s="1004"/>
    </row>
    <row r="230" spans="1:6" ht="14.25">
      <c r="A230" s="269"/>
      <c r="C230" s="189"/>
      <c r="D230" s="1014" t="s">
        <v>1111</v>
      </c>
      <c r="E230" s="1014"/>
      <c r="F230" s="1014"/>
    </row>
    <row r="231" spans="1:6" ht="14.25">
      <c r="A231" s="269"/>
      <c r="B231" s="269"/>
      <c r="C231" s="189"/>
      <c r="D231" s="102" t="s">
        <v>1429</v>
      </c>
      <c r="E231" s="1044" t="s">
        <v>2055</v>
      </c>
      <c r="F231" s="1044"/>
    </row>
    <row r="232" spans="1:6" ht="12.75">
      <c r="D232" s="1037" t="s">
        <v>1408</v>
      </c>
      <c r="E232" s="1014"/>
      <c r="F232" s="1014"/>
    </row>
    <row r="233" spans="1:6" ht="12.75"/>
    <row r="234" spans="1:6" ht="12.75">
      <c r="B234" s="606" t="s">
        <v>79</v>
      </c>
      <c r="D234" s="982" t="s">
        <v>2307</v>
      </c>
      <c r="E234" s="983"/>
      <c r="F234" s="983"/>
    </row>
    <row r="235" spans="1:6" ht="12.75">
      <c r="D235" s="983"/>
      <c r="E235" s="983"/>
      <c r="F235" s="983"/>
    </row>
    <row r="236" spans="1:6" ht="12.75">
      <c r="D236" s="983"/>
      <c r="E236" s="983"/>
      <c r="F236" s="983"/>
    </row>
    <row r="237" spans="1:6" ht="12.75">
      <c r="D237" s="983"/>
      <c r="E237" s="983"/>
      <c r="F237" s="983"/>
    </row>
    <row r="238" spans="1:6" ht="12.75"/>
    <row r="239" spans="1:6" ht="14.25">
      <c r="A239" s="269"/>
      <c r="B239" s="606" t="s">
        <v>79</v>
      </c>
      <c r="D239" s="1014" t="s">
        <v>293</v>
      </c>
      <c r="E239" s="1014"/>
      <c r="F239" s="1014"/>
    </row>
    <row r="240" spans="1:6" ht="14.25">
      <c r="A240" s="269"/>
      <c r="D240" s="1004" t="s">
        <v>1111</v>
      </c>
      <c r="E240" s="1004"/>
      <c r="F240" s="1004"/>
    </row>
    <row r="241" spans="1:6" ht="14.25">
      <c r="A241" s="269"/>
      <c r="B241" s="269"/>
      <c r="D241" s="63" t="s">
        <v>1430</v>
      </c>
      <c r="E241" s="1044" t="s">
        <v>2056</v>
      </c>
      <c r="F241" s="1044"/>
    </row>
    <row r="242" spans="1:6" ht="12.75">
      <c r="D242" s="1014" t="s">
        <v>1409</v>
      </c>
      <c r="E242" s="1014"/>
      <c r="F242" s="1014"/>
    </row>
    <row r="243" spans="1:6" ht="12.75"/>
    <row r="244" spans="1:6" ht="14.25">
      <c r="A244" s="269"/>
      <c r="B244" s="606" t="s">
        <v>79</v>
      </c>
      <c r="D244" s="1014" t="s">
        <v>641</v>
      </c>
      <c r="E244" s="1014"/>
      <c r="F244" s="1014"/>
    </row>
    <row r="245" spans="1:6" ht="14.25">
      <c r="A245" s="269"/>
      <c r="D245" s="44" t="s">
        <v>1111</v>
      </c>
    </row>
    <row r="246" spans="1:6" ht="14.25">
      <c r="A246" s="269"/>
      <c r="B246" s="269"/>
      <c r="D246" s="63" t="s">
        <v>1429</v>
      </c>
      <c r="E246" s="1044" t="s">
        <v>2057</v>
      </c>
      <c r="F246" s="1044"/>
    </row>
    <row r="247" spans="1:6" ht="14.25">
      <c r="A247" s="269"/>
      <c r="B247" s="269"/>
      <c r="D247" s="985" t="s">
        <v>1431</v>
      </c>
      <c r="E247" s="985"/>
      <c r="F247" s="985"/>
    </row>
    <row r="248" spans="1:6" ht="12.75">
      <c r="D248" s="985"/>
      <c r="E248" s="985"/>
      <c r="F248" s="985"/>
    </row>
    <row r="249" spans="1:6" ht="12.75">
      <c r="D249" s="985"/>
      <c r="E249" s="985"/>
      <c r="F249" s="985"/>
    </row>
    <row r="250" spans="1:6" ht="12.75">
      <c r="D250" s="985"/>
      <c r="E250" s="985"/>
      <c r="F250" s="985"/>
    </row>
    <row r="251" spans="1:6" ht="12.75">
      <c r="D251" s="985"/>
      <c r="E251" s="985"/>
      <c r="F251" s="985"/>
    </row>
    <row r="252" spans="1:6" ht="12.75">
      <c r="D252" s="985" t="s">
        <v>1410</v>
      </c>
      <c r="E252" s="985"/>
      <c r="F252" s="985"/>
    </row>
    <row r="253" spans="1:6" ht="12.75">
      <c r="D253" s="44"/>
    </row>
    <row r="254" spans="1:6" ht="14.25">
      <c r="A254" s="269"/>
      <c r="B254" s="606" t="s">
        <v>79</v>
      </c>
      <c r="D254" s="1014" t="s">
        <v>642</v>
      </c>
      <c r="E254" s="1014"/>
      <c r="F254" s="1014"/>
    </row>
    <row r="255" spans="1:6" ht="14.25">
      <c r="A255" s="269"/>
      <c r="D255" s="1014" t="s">
        <v>1111</v>
      </c>
      <c r="E255" s="1014"/>
      <c r="F255" s="1014"/>
    </row>
    <row r="256" spans="1:6" ht="14.25">
      <c r="A256" s="269"/>
      <c r="B256" s="269"/>
      <c r="D256" s="63" t="s">
        <v>1429</v>
      </c>
      <c r="E256" s="1044" t="s">
        <v>2058</v>
      </c>
      <c r="F256" s="1044"/>
    </row>
    <row r="257" spans="1:7" ht="12.75">
      <c r="D257" s="1037" t="s">
        <v>1919</v>
      </c>
      <c r="E257" s="1014"/>
      <c r="F257" s="1014"/>
    </row>
    <row r="258" spans="1:7" ht="12.75">
      <c r="D258" s="100"/>
      <c r="E258" s="100"/>
      <c r="F258" s="100"/>
    </row>
    <row r="259" spans="1:7" ht="14.25">
      <c r="A259" s="269"/>
      <c r="B259" s="606" t="s">
        <v>79</v>
      </c>
      <c r="D259" s="1037" t="s">
        <v>1918</v>
      </c>
      <c r="E259" s="1014"/>
      <c r="F259" s="1014"/>
    </row>
    <row r="260" spans="1:7" ht="14.25">
      <c r="A260" s="269"/>
      <c r="D260" s="1014" t="s">
        <v>1111</v>
      </c>
      <c r="E260" s="1014"/>
      <c r="F260" s="1014"/>
    </row>
    <row r="261" spans="1:7" ht="14.25">
      <c r="A261" s="269"/>
      <c r="B261" s="269"/>
      <c r="D261" s="63" t="s">
        <v>1429</v>
      </c>
      <c r="E261" s="1044" t="s">
        <v>2059</v>
      </c>
      <c r="F261" s="1044"/>
    </row>
    <row r="262" spans="1:7" ht="12.75">
      <c r="D262" s="1037" t="s">
        <v>1920</v>
      </c>
      <c r="E262" s="1014"/>
      <c r="F262" s="1014"/>
    </row>
    <row r="263" spans="1:7" ht="12.75">
      <c r="D263" s="44"/>
    </row>
    <row r="264" spans="1:7" ht="14.25">
      <c r="A264" s="269"/>
      <c r="B264" s="606" t="s">
        <v>79</v>
      </c>
      <c r="D264" s="100" t="s">
        <v>1451</v>
      </c>
      <c r="E264" s="100"/>
      <c r="F264" s="100"/>
    </row>
    <row r="265" spans="1:7" ht="14.25">
      <c r="A265" s="269"/>
      <c r="B265"/>
      <c r="D265" s="977" t="s">
        <v>2303</v>
      </c>
      <c r="E265" s="985"/>
      <c r="F265" s="985"/>
    </row>
    <row r="266" spans="1:7" ht="14.25">
      <c r="A266" s="269"/>
      <c r="D266" s="985"/>
      <c r="E266" s="985"/>
      <c r="F266" s="985"/>
    </row>
    <row r="267" spans="1:7" ht="14.25">
      <c r="A267" s="269"/>
      <c r="D267" s="985"/>
      <c r="E267" s="985"/>
      <c r="F267" s="985"/>
    </row>
    <row r="268" spans="1:7" ht="14.25">
      <c r="A268" s="269"/>
      <c r="D268" s="24"/>
      <c r="E268" s="24"/>
      <c r="F268" s="24"/>
    </row>
    <row r="269" spans="1:7" ht="14.25">
      <c r="A269" s="269"/>
      <c r="B269" s="606" t="s">
        <v>79</v>
      </c>
      <c r="D269" s="1014" t="s">
        <v>1022</v>
      </c>
      <c r="E269" s="1014"/>
      <c r="F269" s="1014"/>
    </row>
    <row r="270" spans="1:7" ht="14.25">
      <c r="A270" s="269"/>
      <c r="D270" s="100"/>
      <c r="E270" s="100"/>
      <c r="F270" s="100"/>
    </row>
    <row r="271" spans="1:7" ht="12.75">
      <c r="A271" s="1038" t="s">
        <v>1386</v>
      </c>
      <c r="B271" s="1038"/>
      <c r="C271" s="1038"/>
      <c r="D271" s="1038"/>
      <c r="E271" s="1038"/>
      <c r="F271" s="1038"/>
      <c r="G271" s="1038"/>
    </row>
    <row r="272" spans="1:7" ht="12.75">
      <c r="D272" s="44"/>
    </row>
    <row r="273" spans="1:7" ht="12.75">
      <c r="C273" s="587"/>
      <c r="D273" s="1005" t="s">
        <v>1385</v>
      </c>
      <c r="E273" s="1005"/>
      <c r="F273" s="1005"/>
    </row>
    <row r="274" spans="1:7" ht="12.75">
      <c r="A274" s="188"/>
      <c r="B274" s="188"/>
      <c r="C274" s="188"/>
      <c r="D274" s="1004" t="s">
        <v>1416</v>
      </c>
      <c r="E274" s="1004"/>
      <c r="F274" s="1004"/>
    </row>
    <row r="275" spans="1:7" ht="12.75">
      <c r="A275" s="18"/>
      <c r="B275" s="18"/>
      <c r="C275" s="18"/>
      <c r="D275" s="3"/>
    </row>
    <row r="276" spans="1:7" ht="12.75">
      <c r="A276" s="18"/>
      <c r="C276" s="18"/>
      <c r="D276" s="1005" t="s">
        <v>209</v>
      </c>
      <c r="E276" s="1005"/>
      <c r="F276" s="1005"/>
      <c r="G276"/>
    </row>
    <row r="277" spans="1:7" ht="14.45" customHeight="1">
      <c r="A277" s="269"/>
      <c r="B277" s="606" t="s">
        <v>79</v>
      </c>
      <c r="C277" s="877"/>
      <c r="D277" s="1025" t="s">
        <v>1995</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79</v>
      </c>
      <c r="C282" s="877"/>
      <c r="D282" s="1025" t="s">
        <v>1996</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1555</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79</v>
      </c>
      <c r="C294" s="795"/>
      <c r="D294" s="1027" t="s">
        <v>1913</v>
      </c>
      <c r="E294" s="1027"/>
      <c r="F294" s="1027"/>
      <c r="G294" s="796"/>
    </row>
    <row r="295" spans="1:7" s="445" customFormat="1" ht="14.25">
      <c r="A295" s="287"/>
      <c r="B295" s="795"/>
      <c r="C295" s="795"/>
      <c r="D295" s="1027"/>
      <c r="E295" s="1027"/>
      <c r="F295" s="1027"/>
      <c r="G295" s="796"/>
    </row>
    <row r="296" spans="1:7" s="445" customFormat="1" ht="14.25">
      <c r="A296" s="287"/>
      <c r="B296" s="795"/>
      <c r="C296" s="795"/>
      <c r="D296" s="1027"/>
      <c r="E296" s="1027"/>
      <c r="F296" s="1027"/>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79</v>
      </c>
      <c r="D299" s="1004" t="s">
        <v>1112</v>
      </c>
      <c r="E299" s="1004"/>
      <c r="F299" s="1004"/>
      <c r="G299"/>
    </row>
    <row r="300" spans="1:7" ht="14.25">
      <c r="A300" s="269"/>
      <c r="B300" s="269"/>
      <c r="D300" s="1004" t="s">
        <v>1556</v>
      </c>
      <c r="E300" s="1004"/>
      <c r="F300" s="1004"/>
      <c r="G300"/>
    </row>
    <row r="301" spans="1:7" ht="14.25">
      <c r="A301" s="269"/>
      <c r="B301" s="269"/>
      <c r="D301" s="3" t="s">
        <v>1042</v>
      </c>
      <c r="E301" s="923" t="s">
        <v>2061</v>
      </c>
      <c r="F301" s="3"/>
    </row>
    <row r="302" spans="1:7" ht="12.75">
      <c r="D302" s="28"/>
    </row>
    <row r="303" spans="1:7" ht="14.25">
      <c r="A303" s="269"/>
      <c r="B303" s="606" t="s">
        <v>79</v>
      </c>
      <c r="D303" s="985" t="s">
        <v>1557</v>
      </c>
      <c r="E303" s="985"/>
      <c r="F303" s="985"/>
    </row>
    <row r="304" spans="1:7" ht="14.25">
      <c r="A304" s="269"/>
      <c r="B304" s="269"/>
      <c r="D304" s="985"/>
      <c r="E304" s="985"/>
      <c r="F304" s="985"/>
    </row>
    <row r="305" spans="1:7" ht="12.75">
      <c r="D305" s="28"/>
    </row>
    <row r="306" spans="1:7" ht="12.75">
      <c r="A306" s="1038" t="s">
        <v>1388</v>
      </c>
      <c r="B306" s="1038"/>
      <c r="C306" s="1038"/>
      <c r="D306" s="1038"/>
      <c r="E306" s="1038"/>
      <c r="F306" s="1038"/>
      <c r="G306" s="1038"/>
    </row>
    <row r="307" spans="1:7" ht="12.75">
      <c r="D307" s="28"/>
    </row>
    <row r="308" spans="1:7" ht="12.75">
      <c r="C308" s="587"/>
      <c r="D308" s="1005" t="s">
        <v>1387</v>
      </c>
      <c r="E308" s="1005"/>
      <c r="F308" s="1005"/>
    </row>
    <row r="309" spans="1:7" ht="12.75">
      <c r="A309" s="188"/>
      <c r="B309" s="188"/>
      <c r="C309" s="188"/>
      <c r="D309" s="44"/>
    </row>
    <row r="310" spans="1:7" ht="12.75">
      <c r="A310" s="189"/>
      <c r="B310" s="189"/>
      <c r="C310" s="189"/>
      <c r="D310" s="1005" t="s">
        <v>211</v>
      </c>
      <c r="E310" s="1005"/>
      <c r="F310" s="1005"/>
    </row>
    <row r="311" spans="1:7" ht="14.45" customHeight="1">
      <c r="A311" s="269"/>
      <c r="B311" s="606" t="s">
        <v>79</v>
      </c>
      <c r="D311" s="977" t="s">
        <v>1870</v>
      </c>
      <c r="E311" s="985"/>
      <c r="F311" s="985"/>
    </row>
    <row r="312" spans="1:7" ht="12.75">
      <c r="D312" s="985"/>
      <c r="E312" s="985"/>
      <c r="F312" s="985"/>
    </row>
    <row r="313" spans="1:7" ht="12.75">
      <c r="D313" s="985"/>
      <c r="E313" s="985"/>
      <c r="F313" s="985"/>
    </row>
    <row r="314" spans="1:7" ht="12.75">
      <c r="D314" s="24"/>
      <c r="E314" s="24"/>
      <c r="F314" s="24"/>
    </row>
    <row r="315" spans="1:7" s="445" customFormat="1" ht="14.45" customHeight="1">
      <c r="A315" s="287"/>
      <c r="B315" s="606" t="s">
        <v>79</v>
      </c>
      <c r="C315" s="795"/>
      <c r="D315" s="1027" t="s">
        <v>1914</v>
      </c>
      <c r="E315" s="1027"/>
      <c r="F315" s="1027"/>
      <c r="G315" s="796"/>
    </row>
    <row r="316" spans="1:7" s="445" customFormat="1" ht="12.75">
      <c r="A316" s="795"/>
      <c r="B316" s="795"/>
      <c r="C316" s="795"/>
      <c r="D316" s="1027"/>
      <c r="E316" s="1027"/>
      <c r="F316" s="1027"/>
      <c r="G316" s="796"/>
    </row>
    <row r="317" spans="1:7" s="445" customFormat="1" ht="12.75">
      <c r="A317" s="795"/>
      <c r="B317" s="795"/>
      <c r="C317" s="795"/>
      <c r="D317" s="1027"/>
      <c r="E317" s="1027"/>
      <c r="F317" s="1027"/>
      <c r="G317" s="796"/>
    </row>
    <row r="318" spans="1:7" s="445" customFormat="1" ht="12.75">
      <c r="A318" s="795"/>
      <c r="B318" s="795"/>
      <c r="C318" s="795"/>
      <c r="E318" s="370" t="s">
        <v>2062</v>
      </c>
      <c r="F318" s="370"/>
      <c r="G318" s="796"/>
    </row>
    <row r="319" spans="1:7" ht="12.75">
      <c r="D319" s="210"/>
    </row>
    <row r="320" spans="1:7" ht="12.75">
      <c r="A320" s="1038" t="s">
        <v>1389</v>
      </c>
      <c r="B320" s="1038"/>
      <c r="C320" s="1038"/>
      <c r="D320" s="1038"/>
      <c r="E320" s="1038"/>
      <c r="F320" s="1038"/>
      <c r="G320" s="1038"/>
    </row>
    <row r="321" spans="1:7" ht="12.75">
      <c r="D321" s="210"/>
    </row>
    <row r="322" spans="1:7" ht="12.75">
      <c r="C322" s="188"/>
      <c r="D322" s="1011" t="s">
        <v>1558</v>
      </c>
      <c r="E322" s="1011"/>
      <c r="F322" s="1011"/>
    </row>
    <row r="323" spans="1:7" ht="12.75">
      <c r="C323" s="188"/>
      <c r="D323" s="1011"/>
      <c r="E323" s="1011"/>
      <c r="F323" s="1011"/>
    </row>
    <row r="324" spans="1:7" ht="12.75">
      <c r="A324" s="189"/>
      <c r="B324" s="189"/>
      <c r="C324" s="189"/>
      <c r="D324" s="3"/>
    </row>
    <row r="325" spans="1:7" ht="12.75">
      <c r="C325" s="189"/>
      <c r="D325" s="1005" t="s">
        <v>162</v>
      </c>
      <c r="E325" s="1005"/>
      <c r="F325" s="1005"/>
    </row>
    <row r="326" spans="1:7" ht="14.25">
      <c r="A326" s="269"/>
      <c r="B326" s="269"/>
      <c r="D326" s="1029" t="s">
        <v>1559</v>
      </c>
      <c r="E326" s="1029"/>
      <c r="F326" s="1029"/>
    </row>
    <row r="327" spans="1:7" ht="12" customHeight="1"/>
    <row r="328" spans="1:7" ht="14.45" customHeight="1">
      <c r="A328" s="269"/>
      <c r="B328" s="606" t="s">
        <v>79</v>
      </c>
      <c r="D328" s="985" t="s">
        <v>1560</v>
      </c>
      <c r="E328" s="985"/>
      <c r="F328" s="985"/>
    </row>
    <row r="329" spans="1:7" ht="14.25">
      <c r="A329" s="269"/>
      <c r="B329" s="269"/>
      <c r="D329" s="985"/>
      <c r="E329" s="985"/>
      <c r="F329" s="985"/>
    </row>
    <row r="330" spans="1:7" ht="12.75"/>
    <row r="331" spans="1:7" ht="14.45" customHeight="1">
      <c r="A331" s="269"/>
      <c r="B331" s="606" t="s">
        <v>79</v>
      </c>
      <c r="D331" s="985" t="s">
        <v>1561</v>
      </c>
      <c r="E331" s="985"/>
      <c r="F331" s="985"/>
    </row>
    <row r="332" spans="1:7" ht="14.25">
      <c r="A332" s="269"/>
      <c r="B332" s="269"/>
      <c r="D332" s="985"/>
      <c r="E332" s="985"/>
      <c r="F332" s="985"/>
    </row>
    <row r="333" spans="1:7" ht="14.25">
      <c r="A333" s="269"/>
      <c r="B333" s="269"/>
      <c r="D333" s="985"/>
      <c r="E333" s="985"/>
      <c r="F333" s="985"/>
    </row>
    <row r="334" spans="1:7" ht="12.75">
      <c r="D334" s="44"/>
      <c r="E334"/>
      <c r="F334"/>
      <c r="G334"/>
    </row>
    <row r="335" spans="1:7" ht="14.25">
      <c r="A335" s="269"/>
      <c r="B335" s="606" t="s">
        <v>79</v>
      </c>
      <c r="D335" s="985" t="s">
        <v>1562</v>
      </c>
      <c r="E335" s="985"/>
      <c r="F335" s="985"/>
    </row>
    <row r="336" spans="1:7" ht="14.25">
      <c r="A336" s="269"/>
      <c r="B336" s="269"/>
      <c r="D336" s="985"/>
      <c r="E336" s="985"/>
      <c r="F336" s="985"/>
    </row>
    <row r="337" spans="1:7" ht="12.75">
      <c r="A337" s="18"/>
      <c r="B337" s="18"/>
      <c r="D337" s="44"/>
    </row>
    <row r="338" spans="1:7" ht="12.75">
      <c r="A338" s="1038" t="s">
        <v>1376</v>
      </c>
      <c r="B338" s="1038"/>
      <c r="C338" s="1038"/>
      <c r="D338" s="1038"/>
      <c r="E338" s="1038"/>
      <c r="F338" s="1038"/>
      <c r="G338" s="1038"/>
    </row>
    <row r="339" spans="1:7" ht="12.75">
      <c r="A339" s="18"/>
      <c r="B339" s="18"/>
      <c r="D339" s="44"/>
      <c r="G339"/>
    </row>
    <row r="340" spans="1:7" ht="12.75">
      <c r="C340" s="18"/>
      <c r="D340" s="1005" t="s">
        <v>163</v>
      </c>
      <c r="E340" s="1005"/>
      <c r="F340" s="1005"/>
      <c r="G340"/>
    </row>
    <row r="341" spans="1:7" ht="12.75">
      <c r="C341" s="18"/>
      <c r="D341" s="1004" t="s">
        <v>1417</v>
      </c>
      <c r="E341" s="1004"/>
      <c r="F341" s="1004"/>
      <c r="G341"/>
    </row>
    <row r="342" spans="1:7" ht="12.75">
      <c r="C342" s="18"/>
      <c r="D342" s="180"/>
      <c r="G342"/>
    </row>
    <row r="343" spans="1:7" ht="12.75">
      <c r="B343" s="606" t="s">
        <v>79</v>
      </c>
      <c r="D343" s="1004" t="s">
        <v>1563</v>
      </c>
      <c r="E343" s="1004"/>
      <c r="F343" s="1004"/>
      <c r="G343"/>
    </row>
    <row r="344" spans="1:7" ht="14.25">
      <c r="A344" s="269"/>
      <c r="B344" s="269"/>
      <c r="D344" s="417"/>
      <c r="G344"/>
    </row>
    <row r="345" spans="1:7" ht="14.25">
      <c r="A345" s="269"/>
      <c r="B345" s="606" t="s">
        <v>79</v>
      </c>
      <c r="D345" s="1004" t="s">
        <v>1564</v>
      </c>
      <c r="E345" s="1004"/>
      <c r="F345" s="1004"/>
      <c r="G345"/>
    </row>
    <row r="346" spans="1:7" ht="12.75">
      <c r="G346"/>
    </row>
    <row r="347" spans="1:7" ht="14.45" customHeight="1">
      <c r="A347" s="269"/>
      <c r="B347" s="606" t="s">
        <v>79</v>
      </c>
      <c r="D347" s="985" t="s">
        <v>1570</v>
      </c>
      <c r="E347" s="985"/>
      <c r="F347" s="985"/>
      <c r="G347"/>
    </row>
    <row r="348" spans="1:7" ht="14.25">
      <c r="A348" s="269"/>
      <c r="B348" s="269"/>
      <c r="D348" s="985"/>
      <c r="E348" s="985"/>
      <c r="F348" s="985"/>
      <c r="G348"/>
    </row>
    <row r="349" spans="1:7" ht="14.25">
      <c r="A349" s="269"/>
      <c r="B349" s="269"/>
      <c r="D349" s="985"/>
      <c r="E349" s="985"/>
      <c r="F349" s="985"/>
      <c r="G349"/>
    </row>
    <row r="350" spans="1:7" ht="14.25">
      <c r="A350" s="269"/>
      <c r="B350" s="269"/>
      <c r="D350" s="985"/>
      <c r="E350" s="985"/>
      <c r="F350" s="985"/>
      <c r="G350"/>
    </row>
    <row r="351" spans="1:7" ht="14.25">
      <c r="A351" s="269"/>
      <c r="B351" s="269"/>
      <c r="D351" s="985"/>
      <c r="E351" s="985"/>
      <c r="F351" s="985"/>
      <c r="G351"/>
    </row>
    <row r="352" spans="1:7" ht="14.25">
      <c r="A352" s="269"/>
      <c r="B352" s="269"/>
      <c r="D352" s="985"/>
      <c r="E352" s="985"/>
      <c r="F352" s="985"/>
      <c r="G352"/>
    </row>
    <row r="353" spans="1:7" ht="14.25">
      <c r="A353" s="269"/>
      <c r="B353" s="269"/>
      <c r="D353" s="985"/>
      <c r="E353" s="985"/>
      <c r="F353" s="985"/>
      <c r="G353"/>
    </row>
    <row r="354" spans="1:7" ht="14.25">
      <c r="A354" s="269"/>
      <c r="B354" s="269"/>
      <c r="D354" s="985"/>
      <c r="E354" s="985"/>
      <c r="F354" s="985"/>
      <c r="G354"/>
    </row>
    <row r="355" spans="1:7" ht="14.25">
      <c r="A355" s="269"/>
      <c r="B355" s="269"/>
      <c r="D355" s="985"/>
      <c r="E355" s="985"/>
      <c r="F355" s="985"/>
    </row>
    <row r="356" spans="1:7" ht="14.25">
      <c r="A356" s="269"/>
      <c r="B356" s="269"/>
      <c r="D356" s="985"/>
      <c r="E356" s="985"/>
      <c r="F356" s="985"/>
    </row>
    <row r="357" spans="1:7" ht="14.25">
      <c r="A357" s="269"/>
      <c r="B357" s="269"/>
      <c r="D357" s="985"/>
      <c r="E357" s="985"/>
      <c r="F357" s="985"/>
    </row>
    <row r="358" spans="1:7" ht="14.25">
      <c r="A358" s="269"/>
      <c r="B358" s="269"/>
      <c r="D358" s="985"/>
      <c r="E358" s="985"/>
      <c r="F358" s="985"/>
    </row>
    <row r="359" spans="1:7" ht="14.25">
      <c r="A359" s="269"/>
      <c r="B359" s="269"/>
      <c r="D359" s="985"/>
      <c r="E359" s="985"/>
      <c r="F359" s="985"/>
    </row>
    <row r="360" spans="1:7" ht="14.25">
      <c r="A360" s="269"/>
      <c r="B360" s="269"/>
      <c r="D360" s="985"/>
      <c r="E360" s="985"/>
      <c r="F360" s="985"/>
    </row>
    <row r="361" spans="1:7" ht="14.25">
      <c r="A361" s="269"/>
      <c r="B361" s="269"/>
      <c r="D361" s="985"/>
      <c r="E361" s="985"/>
      <c r="F361" s="985"/>
    </row>
    <row r="362" spans="1:7" ht="12.75"/>
    <row r="363" spans="1:7" ht="14.45" customHeight="1">
      <c r="A363" s="269"/>
      <c r="B363" s="606" t="s">
        <v>79</v>
      </c>
      <c r="D363" s="985" t="s">
        <v>1565</v>
      </c>
      <c r="E363" s="985"/>
      <c r="F363" s="985"/>
    </row>
    <row r="364" spans="1:7" ht="12.75">
      <c r="D364" s="985"/>
      <c r="E364" s="985"/>
      <c r="F364" s="985"/>
    </row>
    <row r="365" spans="1:7" ht="12.75">
      <c r="D365" s="985"/>
      <c r="E365" s="985"/>
      <c r="F365" s="985"/>
    </row>
    <row r="366" spans="1:7" ht="12.75">
      <c r="D366" s="985"/>
      <c r="E366" s="985"/>
      <c r="F366" s="985"/>
    </row>
    <row r="367" spans="1:7" ht="12.75">
      <c r="D367" s="985"/>
      <c r="E367" s="985"/>
      <c r="F367" s="985"/>
    </row>
    <row r="368" spans="1:7" ht="12.75">
      <c r="D368" s="985"/>
      <c r="E368" s="985"/>
      <c r="F368" s="985"/>
    </row>
    <row r="369" spans="1:6" ht="12.75">
      <c r="D369" s="985"/>
      <c r="E369" s="985"/>
      <c r="F369" s="985"/>
    </row>
    <row r="370" spans="1:6" ht="12.75">
      <c r="D370" s="985"/>
      <c r="E370" s="985"/>
      <c r="F370" s="985"/>
    </row>
    <row r="371" spans="1:6" ht="12.75">
      <c r="D371" s="985"/>
      <c r="E371" s="985"/>
      <c r="F371" s="985"/>
    </row>
    <row r="372" spans="1:6" ht="12.75">
      <c r="E372" s="44"/>
      <c r="F372" s="44"/>
    </row>
    <row r="373" spans="1:6" ht="14.25" customHeight="1">
      <c r="A373" s="269"/>
      <c r="B373" s="606" t="s">
        <v>79</v>
      </c>
      <c r="D373" s="980" t="s">
        <v>2063</v>
      </c>
      <c r="E373" s="980"/>
      <c r="F373" s="980"/>
    </row>
    <row r="374" spans="1:6" ht="12.75">
      <c r="D374" s="980"/>
      <c r="E374" s="980"/>
      <c r="F374" s="980"/>
    </row>
    <row r="375" spans="1:6" ht="12.75">
      <c r="D375" s="980"/>
      <c r="E375" s="980"/>
      <c r="F375" s="980"/>
    </row>
    <row r="376" spans="1:6" ht="12.75">
      <c r="D376" s="980"/>
      <c r="E376" s="980"/>
      <c r="F376" s="980"/>
    </row>
    <row r="377" spans="1:6" ht="12.75">
      <c r="D377" s="980"/>
      <c r="E377" s="980"/>
      <c r="F377" s="980"/>
    </row>
    <row r="378" spans="1:6" ht="12.75">
      <c r="D378" s="207"/>
      <c r="E378" s="102" t="s">
        <v>2064</v>
      </c>
      <c r="F378" s="207"/>
    </row>
    <row r="379" spans="1:6" ht="13.5" thickBot="1">
      <c r="D379" s="774"/>
      <c r="E379" s="97"/>
      <c r="F379" s="97"/>
    </row>
    <row r="380" spans="1:6" ht="14.25" thickTop="1" thickBot="1">
      <c r="D380" s="1053" t="s">
        <v>1266</v>
      </c>
      <c r="E380" s="1053"/>
      <c r="F380" s="1053"/>
    </row>
    <row r="381" spans="1:6" ht="13.5" thickTop="1">
      <c r="D381" s="1054" t="s">
        <v>1566</v>
      </c>
      <c r="E381" s="1054"/>
      <c r="F381" s="1054"/>
    </row>
    <row r="382" spans="1:6" ht="12.75">
      <c r="D382" s="44"/>
    </row>
    <row r="383" spans="1:6" ht="14.25">
      <c r="A383" s="269"/>
      <c r="B383" s="606" t="s">
        <v>79</v>
      </c>
      <c r="C383" s="358"/>
      <c r="D383" s="1021" t="s">
        <v>2125</v>
      </c>
      <c r="E383" s="1021"/>
      <c r="F383" s="1021"/>
    </row>
    <row r="384" spans="1:6" ht="14.25">
      <c r="A384" s="269"/>
      <c r="B384" s="269"/>
      <c r="C384" s="358"/>
      <c r="D384" s="417"/>
    </row>
    <row r="385" spans="1:6" ht="14.25">
      <c r="A385" s="269"/>
      <c r="B385" s="606" t="s">
        <v>79</v>
      </c>
      <c r="C385" s="358"/>
      <c r="D385" s="992" t="s">
        <v>2126</v>
      </c>
      <c r="E385" s="1041"/>
      <c r="F385" s="1041"/>
    </row>
    <row r="386" spans="1:6" ht="14.25">
      <c r="A386" s="269"/>
      <c r="B386" s="269"/>
      <c r="C386" s="358"/>
      <c r="D386" s="1041"/>
      <c r="E386" s="1041"/>
      <c r="F386" s="1041"/>
    </row>
    <row r="387" spans="1:6" ht="14.25">
      <c r="A387" s="269"/>
      <c r="B387" s="269"/>
      <c r="C387" s="358"/>
      <c r="D387" s="1041"/>
      <c r="E387" s="1041"/>
      <c r="F387" s="1041"/>
    </row>
    <row r="388" spans="1:6" ht="14.25">
      <c r="A388" s="269"/>
      <c r="B388" s="269"/>
      <c r="C388" s="358"/>
      <c r="D388" s="1041"/>
      <c r="E388" s="1041"/>
      <c r="F388" s="1041"/>
    </row>
    <row r="389" spans="1:6" ht="14.25">
      <c r="A389" s="269"/>
      <c r="B389" s="269"/>
      <c r="C389" s="358"/>
      <c r="D389" s="1041"/>
      <c r="E389" s="1041"/>
      <c r="F389" s="1041"/>
    </row>
    <row r="390" spans="1:6" ht="14.25">
      <c r="A390" s="269"/>
      <c r="B390" s="269"/>
      <c r="C390" s="358"/>
      <c r="D390" s="1041"/>
      <c r="E390" s="1041"/>
      <c r="F390" s="1041"/>
    </row>
    <row r="391" spans="1:6" ht="14.25">
      <c r="A391" s="269"/>
      <c r="B391" s="269"/>
      <c r="C391" s="358"/>
      <c r="D391" s="1041"/>
      <c r="E391" s="1041"/>
      <c r="F391" s="1041"/>
    </row>
    <row r="392" spans="1:6" ht="14.25">
      <c r="A392" s="269"/>
      <c r="B392" s="269"/>
      <c r="C392" s="358"/>
      <c r="D392" s="1041"/>
      <c r="E392" s="1041"/>
      <c r="F392" s="1041"/>
    </row>
    <row r="393" spans="1:6" ht="14.25">
      <c r="A393" s="269"/>
      <c r="B393" s="269"/>
      <c r="C393" s="358"/>
      <c r="D393" s="1041"/>
      <c r="E393" s="1041"/>
      <c r="F393" s="1041"/>
    </row>
    <row r="394" spans="1:6" ht="14.25">
      <c r="A394" s="269"/>
      <c r="B394" s="269"/>
      <c r="C394" s="358"/>
      <c r="D394" s="1041"/>
      <c r="E394" s="1041"/>
      <c r="F394" s="1041"/>
    </row>
    <row r="395" spans="1:6" ht="14.25">
      <c r="A395" s="269"/>
      <c r="B395" s="269"/>
      <c r="C395" s="358"/>
      <c r="D395" s="624"/>
      <c r="E395" s="624"/>
      <c r="F395" s="624"/>
    </row>
    <row r="396" spans="1:6" ht="14.25">
      <c r="A396" s="269"/>
      <c r="B396" s="606" t="s">
        <v>79</v>
      </c>
      <c r="C396" s="358"/>
      <c r="D396" s="1041" t="s">
        <v>1567</v>
      </c>
      <c r="E396" s="1041"/>
      <c r="F396" s="1041"/>
    </row>
    <row r="397" spans="1:6" ht="12.75">
      <c r="A397" s="358"/>
      <c r="B397" s="358"/>
      <c r="C397" s="358"/>
      <c r="D397" s="1041"/>
      <c r="E397" s="1041"/>
      <c r="F397" s="1041"/>
    </row>
    <row r="398" spans="1:6" ht="12.75">
      <c r="A398" s="358"/>
      <c r="B398" s="358"/>
      <c r="C398" s="358"/>
      <c r="D398" s="1041"/>
      <c r="E398" s="1041"/>
      <c r="F398" s="1041"/>
    </row>
    <row r="399" spans="1:6" ht="12.75">
      <c r="A399" s="358"/>
      <c r="B399" s="358"/>
      <c r="C399" s="358"/>
      <c r="D399" s="1041"/>
      <c r="E399" s="1041"/>
      <c r="F399" s="1041"/>
    </row>
    <row r="400" spans="1:6" ht="12.75">
      <c r="A400" s="358"/>
      <c r="B400" s="358"/>
      <c r="C400" s="358"/>
      <c r="D400" s="624"/>
      <c r="E400" s="624"/>
      <c r="F400" s="624"/>
    </row>
    <row r="401" spans="1:6" ht="12.75">
      <c r="A401" s="358"/>
      <c r="B401" s="358"/>
      <c r="C401" s="358"/>
      <c r="D401" s="1041" t="s">
        <v>1568</v>
      </c>
      <c r="E401" s="1041"/>
      <c r="F401" s="1041"/>
    </row>
    <row r="402" spans="1:6" ht="12.75">
      <c r="A402" s="358"/>
      <c r="B402" s="358"/>
      <c r="C402" s="358"/>
      <c r="D402" s="1041"/>
      <c r="E402" s="1041"/>
      <c r="F402" s="1041"/>
    </row>
    <row r="403" spans="1:6" ht="12.75">
      <c r="A403" s="358"/>
      <c r="B403" s="358"/>
      <c r="C403" s="358"/>
      <c r="D403" s="1041"/>
      <c r="E403" s="1041"/>
      <c r="F403" s="1041"/>
    </row>
    <row r="404" spans="1:6" ht="12.75">
      <c r="A404" s="358"/>
      <c r="B404" s="358"/>
      <c r="C404" s="358"/>
      <c r="D404" s="1041"/>
      <c r="E404" s="1041"/>
      <c r="F404" s="1041"/>
    </row>
    <row r="405" spans="1:6" ht="12.75">
      <c r="A405" s="358"/>
      <c r="B405" s="358"/>
      <c r="C405" s="358"/>
      <c r="D405" s="1041"/>
      <c r="E405" s="1041"/>
      <c r="F405" s="1041"/>
    </row>
    <row r="406" spans="1:6" ht="12.75">
      <c r="A406" s="358"/>
      <c r="B406" s="358"/>
      <c r="C406" s="358"/>
      <c r="D406" s="1041"/>
      <c r="E406" s="1041"/>
      <c r="F406" s="1041"/>
    </row>
    <row r="407" spans="1:6" ht="12.75">
      <c r="A407" s="358"/>
      <c r="B407" s="358"/>
      <c r="C407" s="358"/>
      <c r="D407" s="1041"/>
      <c r="E407" s="1041"/>
      <c r="F407" s="1041"/>
    </row>
    <row r="408" spans="1:6" ht="12.75">
      <c r="A408" s="358"/>
      <c r="B408" s="358"/>
      <c r="C408" s="358"/>
      <c r="D408" s="1041"/>
      <c r="E408" s="1041"/>
      <c r="F408" s="1041"/>
    </row>
    <row r="409" spans="1:6" ht="12.75">
      <c r="A409" s="358"/>
      <c r="B409" s="358"/>
      <c r="C409" s="358"/>
      <c r="D409" s="1041"/>
      <c r="E409" s="1041"/>
      <c r="F409" s="1041"/>
    </row>
    <row r="410" spans="1:6" ht="13.7" customHeight="1">
      <c r="A410" s="358"/>
      <c r="B410" s="358"/>
      <c r="C410" s="358"/>
      <c r="D410" s="1041" t="s">
        <v>1571</v>
      </c>
      <c r="E410" s="1041"/>
      <c r="F410" s="1041"/>
    </row>
    <row r="411" spans="1:6" ht="13.7" customHeight="1">
      <c r="A411" s="358"/>
      <c r="B411" s="358"/>
      <c r="C411" s="358"/>
      <c r="D411" s="1041"/>
      <c r="E411" s="1041"/>
      <c r="F411" s="1041"/>
    </row>
    <row r="412" spans="1:6" ht="13.7" customHeight="1">
      <c r="A412" s="358"/>
      <c r="B412" s="358"/>
      <c r="C412" s="358"/>
      <c r="D412" s="1041"/>
      <c r="E412" s="1041"/>
      <c r="F412" s="1041"/>
    </row>
    <row r="413" spans="1:6" ht="13.7" customHeight="1">
      <c r="A413" s="358"/>
      <c r="B413" s="358"/>
      <c r="C413" s="358"/>
      <c r="D413" s="1041"/>
      <c r="E413" s="1041"/>
      <c r="F413" s="1041"/>
    </row>
    <row r="414" spans="1:6" ht="13.7" customHeight="1">
      <c r="A414" s="358"/>
      <c r="B414" s="358"/>
      <c r="C414" s="358"/>
      <c r="D414" s="1041"/>
      <c r="E414" s="1041"/>
      <c r="F414" s="1041"/>
    </row>
    <row r="415" spans="1:6" ht="13.7" customHeight="1">
      <c r="A415" s="358"/>
      <c r="B415" s="358"/>
      <c r="C415" s="358"/>
      <c r="D415" s="1041"/>
      <c r="E415" s="1041"/>
      <c r="F415" s="1041"/>
    </row>
    <row r="416" spans="1:6" ht="13.7" customHeight="1">
      <c r="A416" s="358"/>
      <c r="B416" s="358"/>
      <c r="C416" s="358"/>
      <c r="D416" s="1041"/>
      <c r="E416" s="1041"/>
      <c r="F416" s="1041"/>
    </row>
    <row r="417" spans="1:6" ht="13.7" customHeight="1">
      <c r="A417" s="358"/>
      <c r="B417" s="358"/>
      <c r="C417" s="358"/>
      <c r="D417" s="1041"/>
      <c r="E417" s="1041"/>
      <c r="F417" s="1041"/>
    </row>
    <row r="418" spans="1:6" ht="13.7" customHeight="1">
      <c r="A418" s="358"/>
      <c r="B418" s="358"/>
      <c r="C418" s="358"/>
      <c r="D418" s="1041"/>
      <c r="E418" s="1041"/>
      <c r="F418" s="1041"/>
    </row>
    <row r="419" spans="1:6" ht="13.7" customHeight="1">
      <c r="A419" s="358"/>
      <c r="B419" s="358"/>
      <c r="C419" s="358"/>
      <c r="D419" s="1041"/>
      <c r="E419" s="1041"/>
      <c r="F419" s="1041"/>
    </row>
    <row r="420" spans="1:6" ht="13.7" customHeight="1">
      <c r="A420" s="358"/>
      <c r="B420" s="358"/>
      <c r="C420" s="358"/>
      <c r="D420" s="1041"/>
      <c r="E420" s="1041"/>
      <c r="F420" s="1041"/>
    </row>
    <row r="421" spans="1:6" ht="13.7" customHeight="1">
      <c r="A421" s="358"/>
      <c r="B421" s="358"/>
      <c r="C421" s="358"/>
      <c r="D421" s="1041"/>
      <c r="E421" s="1041"/>
      <c r="F421" s="1041"/>
    </row>
    <row r="422" spans="1:6" ht="13.7" customHeight="1">
      <c r="A422" s="358"/>
      <c r="B422" s="358"/>
      <c r="C422" s="358"/>
      <c r="D422" s="1041"/>
      <c r="E422" s="1041"/>
      <c r="F422" s="1041"/>
    </row>
    <row r="423" spans="1:6" ht="13.7" customHeight="1">
      <c r="A423" s="358"/>
      <c r="B423" s="358"/>
      <c r="C423" s="358"/>
      <c r="D423" s="1041"/>
      <c r="E423" s="1041"/>
      <c r="F423" s="1041"/>
    </row>
    <row r="424" spans="1:6" ht="13.7" customHeight="1">
      <c r="A424" s="358"/>
      <c r="B424" s="358"/>
      <c r="C424" s="358"/>
      <c r="D424" s="1041"/>
      <c r="E424" s="1041"/>
      <c r="F424" s="1041"/>
    </row>
    <row r="425" spans="1:6" ht="13.7" customHeight="1">
      <c r="A425" s="358"/>
      <c r="B425" s="358"/>
      <c r="C425" s="358"/>
      <c r="D425" s="1041"/>
      <c r="E425" s="1041"/>
      <c r="F425" s="1041"/>
    </row>
    <row r="426" spans="1:6" ht="13.7" customHeight="1">
      <c r="A426" s="358"/>
      <c r="B426" s="358"/>
      <c r="C426" s="358"/>
      <c r="D426" s="1041"/>
      <c r="E426" s="1041"/>
      <c r="F426" s="1041"/>
    </row>
    <row r="427" spans="1:6" ht="13.7" customHeight="1">
      <c r="A427" s="358"/>
      <c r="B427" s="358"/>
      <c r="C427" s="358"/>
      <c r="D427" s="1041"/>
      <c r="E427" s="1041"/>
      <c r="F427" s="1041"/>
    </row>
    <row r="428" spans="1:6" ht="12.75">
      <c r="A428" s="358"/>
      <c r="B428" s="358"/>
      <c r="C428" s="358"/>
      <c r="D428" s="417"/>
    </row>
    <row r="429" spans="1:6" ht="13.7" customHeight="1">
      <c r="A429" s="358"/>
      <c r="B429" s="606" t="s">
        <v>79</v>
      </c>
      <c r="C429" s="358"/>
      <c r="D429" s="1041" t="s">
        <v>1569</v>
      </c>
      <c r="E429" s="1041"/>
      <c r="F429" s="1041"/>
    </row>
    <row r="430" spans="1:6" ht="12.75">
      <c r="A430" s="358"/>
      <c r="B430" s="358"/>
      <c r="C430" s="358"/>
      <c r="D430" s="1041"/>
      <c r="E430" s="1041"/>
      <c r="F430" s="1041"/>
    </row>
    <row r="431" spans="1:6" ht="12.75">
      <c r="A431" s="358"/>
      <c r="B431" s="358"/>
      <c r="C431" s="358"/>
      <c r="D431" s="624"/>
      <c r="E431" s="624"/>
      <c r="F431" s="624"/>
    </row>
    <row r="432" spans="1:6" ht="12.75">
      <c r="A432" s="358"/>
      <c r="B432" s="606" t="s">
        <v>79</v>
      </c>
      <c r="C432" s="358"/>
      <c r="D432" s="1031" t="s">
        <v>1867</v>
      </c>
      <c r="E432" s="1031"/>
      <c r="F432" s="1031"/>
    </row>
    <row r="433" spans="1:6" ht="12.75">
      <c r="A433" s="358"/>
      <c r="B433" s="358"/>
      <c r="C433" s="358"/>
      <c r="D433" s="1031"/>
      <c r="E433" s="1031"/>
      <c r="F433" s="1031"/>
    </row>
    <row r="434" spans="1:6" ht="12.75">
      <c r="A434" s="358"/>
      <c r="B434" s="358"/>
      <c r="C434" s="358"/>
      <c r="D434" s="1031"/>
      <c r="E434" s="1031"/>
      <c r="F434" s="1031"/>
    </row>
    <row r="435" spans="1:6" ht="12.75">
      <c r="A435" s="358"/>
      <c r="B435" s="358"/>
      <c r="C435" s="358"/>
      <c r="D435" s="1031"/>
      <c r="E435" s="1031"/>
      <c r="F435" s="1031"/>
    </row>
    <row r="436" spans="1:6" ht="12.75">
      <c r="A436" s="358"/>
      <c r="B436" s="358"/>
      <c r="C436" s="358"/>
      <c r="D436" s="1031"/>
      <c r="E436" s="1031"/>
      <c r="F436" s="1031"/>
    </row>
    <row r="437" spans="1:6" ht="12.75">
      <c r="A437" s="358"/>
      <c r="B437" s="358"/>
      <c r="C437" s="358"/>
      <c r="D437" s="1031"/>
      <c r="E437" s="1031"/>
      <c r="F437" s="1031"/>
    </row>
    <row r="438" spans="1:6" ht="14.45" customHeight="1">
      <c r="A438" s="269"/>
      <c r="B438" s="606" t="s">
        <v>79</v>
      </c>
      <c r="C438" s="358"/>
      <c r="D438" s="1031" t="s">
        <v>1848</v>
      </c>
      <c r="E438" s="1031"/>
      <c r="F438" s="1031"/>
    </row>
    <row r="439" spans="1:6" ht="14.25">
      <c r="A439" s="497"/>
      <c r="B439" s="497"/>
      <c r="C439" s="358"/>
      <c r="D439" s="1031"/>
      <c r="E439" s="1031"/>
      <c r="F439" s="1031"/>
    </row>
    <row r="440" spans="1:6" ht="14.25">
      <c r="A440" s="497"/>
      <c r="B440" s="497"/>
      <c r="C440" s="358"/>
      <c r="D440" s="1031"/>
      <c r="E440" s="1031"/>
      <c r="F440" s="1031"/>
    </row>
    <row r="441" spans="1:6" ht="14.25">
      <c r="A441" s="497"/>
      <c r="B441" s="497"/>
      <c r="C441" s="358"/>
      <c r="D441" s="1031"/>
      <c r="E441" s="1031"/>
      <c r="F441" s="1031"/>
    </row>
    <row r="442" spans="1:6" ht="14.25" customHeight="1">
      <c r="A442" s="497"/>
      <c r="B442" s="497"/>
      <c r="C442" s="358"/>
      <c r="D442" s="1060" t="s">
        <v>1863</v>
      </c>
      <c r="E442" s="1060"/>
      <c r="F442" s="1060"/>
    </row>
    <row r="443" spans="1:6" ht="12.75">
      <c r="D443" s="44"/>
    </row>
    <row r="444" spans="1:6" ht="14.45" customHeight="1">
      <c r="A444" s="269"/>
      <c r="B444" s="606" t="s">
        <v>79</v>
      </c>
      <c r="C444" s="205"/>
      <c r="D444" s="977" t="s">
        <v>2299</v>
      </c>
      <c r="E444" s="985"/>
      <c r="F444" s="985"/>
    </row>
    <row r="445" spans="1:6" ht="14.25">
      <c r="A445" s="269"/>
      <c r="B445" s="269"/>
      <c r="D445" s="985"/>
      <c r="E445" s="985"/>
      <c r="F445" s="985"/>
    </row>
    <row r="446" spans="1:6" ht="14.25">
      <c r="A446" s="269"/>
      <c r="B446" s="269"/>
      <c r="D446" s="985"/>
      <c r="E446" s="985"/>
      <c r="F446" s="985"/>
    </row>
    <row r="447" spans="1:6" ht="14.25">
      <c r="A447" s="269"/>
      <c r="B447" s="269"/>
      <c r="D447" s="985"/>
      <c r="E447" s="985"/>
      <c r="F447" s="985"/>
    </row>
    <row r="448" spans="1:6" ht="14.25">
      <c r="A448" s="269"/>
      <c r="B448" s="269"/>
      <c r="D448" s="985"/>
      <c r="E448" s="985"/>
      <c r="F448" s="985"/>
    </row>
    <row r="449" spans="1:6" ht="14.25">
      <c r="A449" s="269"/>
      <c r="B449" s="269"/>
      <c r="D449" s="985"/>
      <c r="E449" s="985"/>
      <c r="F449" s="985"/>
    </row>
    <row r="450" spans="1:6" ht="14.25">
      <c r="A450" s="269"/>
      <c r="B450" s="269"/>
      <c r="D450" s="985"/>
      <c r="E450" s="985"/>
      <c r="F450" s="985"/>
    </row>
    <row r="451" spans="1:6" ht="14.25">
      <c r="A451" s="269"/>
      <c r="B451" s="269"/>
      <c r="D451" s="985"/>
      <c r="E451" s="985"/>
      <c r="F451" s="985"/>
    </row>
    <row r="452" spans="1:6" ht="14.25">
      <c r="A452" s="269"/>
      <c r="B452" s="269"/>
      <c r="D452" s="985"/>
      <c r="E452" s="985"/>
      <c r="F452" s="985"/>
    </row>
    <row r="453" spans="1:6" ht="14.25">
      <c r="A453" s="269"/>
      <c r="B453" s="269"/>
      <c r="D453" s="985"/>
      <c r="E453" s="985"/>
      <c r="F453" s="985"/>
    </row>
    <row r="454" spans="1:6" ht="14.25">
      <c r="A454" s="269"/>
      <c r="B454" s="269"/>
      <c r="D454" s="985"/>
      <c r="E454" s="985"/>
      <c r="F454" s="985"/>
    </row>
    <row r="455" spans="1:6" ht="14.25">
      <c r="A455" s="269"/>
      <c r="B455" s="269"/>
      <c r="D455" s="985"/>
      <c r="E455" s="985"/>
      <c r="F455" s="985"/>
    </row>
    <row r="456" spans="1:6" ht="14.25">
      <c r="A456" s="269"/>
      <c r="B456" s="269"/>
      <c r="D456" s="985"/>
      <c r="E456" s="985"/>
      <c r="F456" s="985"/>
    </row>
    <row r="457" spans="1:6" ht="14.25">
      <c r="A457" s="269"/>
      <c r="B457" s="269"/>
      <c r="D457" s="985"/>
      <c r="E457" s="985"/>
      <c r="F457" s="985"/>
    </row>
    <row r="458" spans="1:6" ht="14.25">
      <c r="A458" s="269"/>
      <c r="B458" s="269"/>
      <c r="D458" s="985"/>
      <c r="E458" s="985"/>
      <c r="F458" s="985"/>
    </row>
    <row r="459" spans="1:6" ht="14.25">
      <c r="A459" s="269"/>
      <c r="B459" s="269"/>
      <c r="D459" s="985"/>
      <c r="E459" s="985"/>
      <c r="F459" s="985"/>
    </row>
    <row r="460" spans="1:6" ht="14.25">
      <c r="A460" s="269"/>
      <c r="B460" s="269"/>
      <c r="D460" s="985"/>
      <c r="E460" s="985"/>
      <c r="F460" s="985"/>
    </row>
    <row r="461" spans="1:6" ht="14.25">
      <c r="A461" s="269"/>
      <c r="B461" s="269"/>
      <c r="D461" s="985"/>
      <c r="E461" s="985"/>
      <c r="F461" s="985"/>
    </row>
    <row r="462" spans="1:6" ht="14.25">
      <c r="A462" s="269"/>
      <c r="B462" s="269"/>
      <c r="D462" s="985"/>
      <c r="E462" s="985"/>
      <c r="F462" s="985"/>
    </row>
    <row r="463" spans="1:6" ht="14.25">
      <c r="A463" s="269"/>
      <c r="B463" s="269"/>
      <c r="D463" s="985"/>
      <c r="E463" s="985"/>
      <c r="F463" s="985"/>
    </row>
    <row r="464" spans="1:6" ht="14.25">
      <c r="A464" s="269"/>
      <c r="B464" s="269"/>
      <c r="D464" s="985"/>
      <c r="E464" s="985"/>
      <c r="F464" s="985"/>
    </row>
    <row r="465" spans="1:6" ht="14.25">
      <c r="A465" s="269"/>
      <c r="B465" s="269"/>
      <c r="D465" s="985"/>
      <c r="E465" s="985"/>
      <c r="F465" s="985"/>
    </row>
    <row r="466" spans="1:6" ht="14.25">
      <c r="A466" s="269"/>
      <c r="B466" s="269"/>
      <c r="D466" s="985"/>
      <c r="E466" s="985"/>
      <c r="F466" s="985"/>
    </row>
    <row r="467" spans="1:6" ht="14.25">
      <c r="A467" s="269"/>
      <c r="B467" s="269"/>
      <c r="D467" s="985"/>
      <c r="E467" s="985"/>
      <c r="F467" s="985"/>
    </row>
    <row r="468" spans="1:6" ht="14.25">
      <c r="A468" s="269"/>
      <c r="B468" s="269"/>
      <c r="D468" s="985"/>
      <c r="E468" s="985"/>
      <c r="F468" s="985"/>
    </row>
    <row r="469" spans="1:6" ht="14.25">
      <c r="A469" s="269"/>
      <c r="B469" s="269"/>
      <c r="D469" s="985"/>
      <c r="E469" s="985"/>
      <c r="F469" s="985"/>
    </row>
    <row r="470" spans="1:6" ht="14.25">
      <c r="A470" s="269"/>
      <c r="B470" s="269"/>
      <c r="D470" s="985"/>
      <c r="E470" s="985"/>
      <c r="F470" s="985"/>
    </row>
    <row r="471" spans="1:6" ht="14.25">
      <c r="A471" s="269"/>
      <c r="B471" s="269"/>
      <c r="D471" s="985"/>
      <c r="E471" s="985"/>
      <c r="F471" s="985"/>
    </row>
    <row r="472" spans="1:6" ht="14.25">
      <c r="A472" s="269"/>
      <c r="B472" s="269"/>
      <c r="D472" s="985"/>
      <c r="E472" s="985"/>
      <c r="F472" s="985"/>
    </row>
    <row r="473" spans="1:6" ht="14.25">
      <c r="A473" s="269"/>
      <c r="B473" s="269"/>
      <c r="D473" s="985"/>
      <c r="E473" s="985"/>
      <c r="F473" s="985"/>
    </row>
    <row r="474" spans="1:6" ht="12.75" hidden="1">
      <c r="D474" s="985"/>
      <c r="E474" s="985"/>
      <c r="F474" s="985"/>
    </row>
    <row r="475" spans="1:6" ht="12.75" hidden="1">
      <c r="D475" s="44"/>
    </row>
    <row r="476" spans="1:6" ht="14.25">
      <c r="A476" s="269"/>
      <c r="B476" s="606" t="s">
        <v>79</v>
      </c>
      <c r="C476" s="205"/>
      <c r="D476" s="1006" t="s">
        <v>2066</v>
      </c>
      <c r="E476" s="1004"/>
      <c r="F476" s="1004"/>
    </row>
    <row r="477" spans="1:6" ht="12.75">
      <c r="D477"/>
      <c r="E477" s="924" t="s">
        <v>2065</v>
      </c>
      <c r="F477" s="924"/>
    </row>
    <row r="478" spans="1:6" ht="13.7" customHeight="1">
      <c r="D478" s="977" t="s">
        <v>1845</v>
      </c>
      <c r="E478" s="985"/>
      <c r="F478" s="985"/>
    </row>
    <row r="479" spans="1:6" ht="13.7" customHeight="1">
      <c r="D479" s="985"/>
      <c r="E479" s="985"/>
      <c r="F479" s="985"/>
    </row>
    <row r="480" spans="1:6" ht="12.75">
      <c r="D480" s="44"/>
    </row>
    <row r="481" spans="1:6" ht="14.45" customHeight="1">
      <c r="A481" s="269"/>
      <c r="B481" s="606" t="s">
        <v>79</v>
      </c>
      <c r="C481" s="205"/>
      <c r="D481" s="977" t="s">
        <v>2300</v>
      </c>
      <c r="E481" s="985"/>
      <c r="F481" s="985"/>
    </row>
    <row r="482" spans="1:6" ht="12.75">
      <c r="D482" s="985"/>
      <c r="E482" s="985"/>
      <c r="F482" s="985"/>
    </row>
    <row r="483" spans="1:6" ht="12.75">
      <c r="D483" s="985"/>
      <c r="E483" s="985"/>
      <c r="F483" s="985"/>
    </row>
    <row r="484" spans="1:6" ht="12.75">
      <c r="D484" s="24"/>
      <c r="E484" s="24"/>
      <c r="F484" s="24"/>
    </row>
    <row r="485" spans="1:6" ht="14.25">
      <c r="B485" s="606" t="s">
        <v>79</v>
      </c>
      <c r="C485" s="269"/>
      <c r="D485" s="977" t="s">
        <v>1712</v>
      </c>
      <c r="E485" s="985"/>
      <c r="F485" s="985"/>
    </row>
    <row r="486" spans="1:6" ht="12.75">
      <c r="D486" s="985"/>
      <c r="E486" s="985"/>
      <c r="F486" s="985"/>
    </row>
    <row r="487" spans="1:6" ht="12.75">
      <c r="D487" s="44"/>
      <c r="E487" s="44"/>
    </row>
    <row r="488" spans="1:6" ht="14.25">
      <c r="B488" s="606" t="s">
        <v>79</v>
      </c>
      <c r="C488" s="269"/>
      <c r="D488" s="985" t="s">
        <v>1572</v>
      </c>
      <c r="E488" s="985"/>
      <c r="F488" s="985"/>
    </row>
    <row r="489" spans="1:6" ht="12.75">
      <c r="D489" s="985"/>
      <c r="E489" s="985"/>
      <c r="F489" s="985"/>
    </row>
    <row r="490" spans="1:6" ht="12.75">
      <c r="D490" s="985"/>
      <c r="E490" s="985"/>
      <c r="F490" s="985"/>
    </row>
    <row r="491" spans="1:6" ht="12.75">
      <c r="D491" s="985"/>
      <c r="E491" s="985"/>
      <c r="F491" s="985"/>
    </row>
    <row r="492" spans="1:6" ht="12.75">
      <c r="B492" s="606" t="s">
        <v>79</v>
      </c>
      <c r="D492" s="985"/>
      <c r="E492" s="985"/>
      <c r="F492" s="985"/>
    </row>
    <row r="493" spans="1:6" ht="12.75">
      <c r="D493" s="985"/>
      <c r="E493" s="985"/>
      <c r="F493" s="985"/>
    </row>
    <row r="494" spans="1:6" ht="12.75">
      <c r="D494" s="985"/>
      <c r="E494" s="985"/>
      <c r="F494" s="985"/>
    </row>
    <row r="495" spans="1:6" ht="12.75">
      <c r="B495" s="606" t="s">
        <v>79</v>
      </c>
      <c r="D495" s="985"/>
      <c r="E495" s="985"/>
      <c r="F495" s="985"/>
    </row>
    <row r="496" spans="1:6" ht="12.75">
      <c r="D496" s="985"/>
      <c r="E496" s="985"/>
      <c r="F496" s="985"/>
    </row>
    <row r="497" spans="1:7" ht="12.75">
      <c r="D497" s="985"/>
      <c r="E497" s="985"/>
      <c r="F497" s="985"/>
    </row>
    <row r="498" spans="1:7" ht="12.75">
      <c r="D498" s="985"/>
      <c r="E498" s="985"/>
      <c r="F498" s="985"/>
    </row>
    <row r="499" spans="1:7" ht="12.75">
      <c r="B499" s="606" t="s">
        <v>79</v>
      </c>
      <c r="D499" s="985"/>
      <c r="E499" s="985"/>
      <c r="F499" s="985"/>
    </row>
    <row r="500" spans="1:7" ht="12.75">
      <c r="D500" s="985"/>
      <c r="E500" s="985"/>
      <c r="F500" s="985"/>
    </row>
    <row r="501" spans="1:7" ht="12.75">
      <c r="B501" s="606" t="s">
        <v>79</v>
      </c>
      <c r="D501" s="985"/>
      <c r="E501" s="985"/>
      <c r="F501" s="985"/>
    </row>
    <row r="502" spans="1:7" ht="12.75">
      <c r="D502" s="985"/>
      <c r="E502" s="985"/>
      <c r="F502" s="985"/>
    </row>
    <row r="503" spans="1:7" ht="13.7" customHeight="1">
      <c r="B503" s="606" t="s">
        <v>79</v>
      </c>
      <c r="D503" s="985" t="s">
        <v>1573</v>
      </c>
      <c r="E503" s="985"/>
      <c r="F503" s="985"/>
    </row>
    <row r="504" spans="1:7" ht="12.75">
      <c r="D504" s="985"/>
      <c r="E504" s="985"/>
      <c r="F504" s="985"/>
    </row>
    <row r="505" spans="1:7" ht="12.75">
      <c r="D505" s="985"/>
      <c r="E505" s="985"/>
      <c r="F505" s="985"/>
    </row>
    <row r="506" spans="1:7" ht="12.75">
      <c r="D506" s="985"/>
      <c r="E506" s="985"/>
      <c r="F506" s="985"/>
    </row>
    <row r="507" spans="1:7" ht="12.75">
      <c r="D507" s="985"/>
      <c r="E507" s="985"/>
      <c r="F507" s="985"/>
    </row>
    <row r="508" spans="1:7" ht="12.75">
      <c r="D508" s="44"/>
    </row>
    <row r="509" spans="1:7" ht="12.75">
      <c r="B509" s="606" t="s">
        <v>79</v>
      </c>
      <c r="D509" s="1004" t="s">
        <v>1418</v>
      </c>
      <c r="E509" s="1004"/>
      <c r="F509" s="1004"/>
    </row>
    <row r="510" spans="1:7" ht="12.75">
      <c r="A510" s="44"/>
      <c r="B510" s="44"/>
    </row>
    <row r="511" spans="1:7" ht="12.75">
      <c r="A511" s="1038" t="s">
        <v>1377</v>
      </c>
      <c r="B511" s="1038"/>
      <c r="C511" s="1038"/>
      <c r="D511" s="1038"/>
      <c r="E511" s="1038"/>
      <c r="F511" s="1038"/>
      <c r="G511" s="1038"/>
    </row>
    <row r="512" spans="1:7" ht="12.75">
      <c r="A512" s="44"/>
      <c r="B512" s="44"/>
    </row>
    <row r="513" spans="1:7" ht="12.75">
      <c r="D513" s="1055" t="s">
        <v>1118</v>
      </c>
      <c r="E513" s="1055"/>
      <c r="F513" s="1055"/>
    </row>
    <row r="514" spans="1:7" ht="12.75">
      <c r="D514" s="1021" t="s">
        <v>1411</v>
      </c>
      <c r="E514" s="1021"/>
      <c r="F514" s="1021"/>
    </row>
    <row r="515" spans="1:7" ht="14.25">
      <c r="A515" s="269"/>
      <c r="B515" s="269"/>
      <c r="D515" s="417"/>
    </row>
    <row r="516" spans="1:7" ht="14.25">
      <c r="A516" s="269"/>
      <c r="B516" s="606" t="s">
        <v>79</v>
      </c>
      <c r="D516" s="1041" t="s">
        <v>1574</v>
      </c>
      <c r="E516" s="1041"/>
      <c r="F516" s="1041"/>
    </row>
    <row r="517" spans="1:7" ht="14.25">
      <c r="A517" s="269"/>
      <c r="B517" s="269"/>
      <c r="D517" s="1041"/>
      <c r="E517" s="1041"/>
      <c r="F517" s="1041"/>
    </row>
    <row r="518" spans="1:7" ht="14.25">
      <c r="A518" s="269"/>
      <c r="B518" s="269"/>
      <c r="D518" s="44"/>
    </row>
    <row r="519" spans="1:7" ht="14.25">
      <c r="A519" s="269"/>
      <c r="B519" s="606" t="s">
        <v>79</v>
      </c>
      <c r="D519" s="1056" t="s">
        <v>1864</v>
      </c>
      <c r="E519" s="1007"/>
      <c r="F519" s="1007"/>
    </row>
    <row r="520" spans="1:7" ht="14.25">
      <c r="A520" s="269"/>
      <c r="B520" s="269"/>
      <c r="D520" s="1007"/>
      <c r="E520" s="1007"/>
      <c r="F520" s="1007"/>
    </row>
    <row r="521" spans="1:7" ht="14.25">
      <c r="A521" s="269"/>
      <c r="B521" s="269"/>
      <c r="D521" s="1007"/>
      <c r="E521" s="1007"/>
      <c r="F521" s="1007"/>
      <c r="G521"/>
    </row>
    <row r="522" spans="1:7" ht="14.25">
      <c r="A522" s="269"/>
      <c r="B522" s="269"/>
      <c r="D522" s="1007"/>
      <c r="E522" s="1007"/>
      <c r="F522" s="1007"/>
      <c r="G522"/>
    </row>
    <row r="523" spans="1:7" ht="12.75">
      <c r="G523"/>
    </row>
    <row r="524" spans="1:7" ht="14.25">
      <c r="A524" s="269"/>
      <c r="B524" s="606" t="s">
        <v>79</v>
      </c>
      <c r="D524" s="1004" t="s">
        <v>1576</v>
      </c>
      <c r="E524" s="1004"/>
      <c r="F524" s="1004"/>
      <c r="G524"/>
    </row>
    <row r="525" spans="1:7" ht="12.75">
      <c r="D525" s="44"/>
      <c r="G525"/>
    </row>
    <row r="526" spans="1:7" ht="14.25">
      <c r="A526" s="269"/>
      <c r="B526" s="606" t="s">
        <v>79</v>
      </c>
      <c r="D526" s="985" t="s">
        <v>1577</v>
      </c>
      <c r="E526" s="985"/>
      <c r="F526" s="985"/>
      <c r="G526"/>
    </row>
    <row r="527" spans="1:7" ht="12.75">
      <c r="D527" s="985"/>
      <c r="E527" s="985"/>
      <c r="F527" s="985"/>
      <c r="G527"/>
    </row>
    <row r="528" spans="1:7" ht="12.75">
      <c r="D528" s="417"/>
      <c r="G528"/>
    </row>
    <row r="529" spans="1:7" ht="14.25">
      <c r="A529" s="269"/>
      <c r="B529" s="606" t="s">
        <v>79</v>
      </c>
      <c r="D529" s="1004" t="s">
        <v>1575</v>
      </c>
      <c r="E529" s="1004"/>
      <c r="F529" s="1004"/>
    </row>
    <row r="530" spans="1:7" ht="14.25">
      <c r="A530" s="269"/>
      <c r="B530" s="269"/>
      <c r="D530" s="44"/>
    </row>
    <row r="531" spans="1:7" ht="12.75">
      <c r="A531" s="1038" t="s">
        <v>1378</v>
      </c>
      <c r="B531" s="1038"/>
      <c r="C531" s="1038"/>
      <c r="D531" s="1038"/>
      <c r="E531" s="1038"/>
      <c r="F531" s="1038"/>
      <c r="G531" s="1038"/>
    </row>
    <row r="532" spans="1:7" ht="12" customHeight="1">
      <c r="A532" s="269"/>
      <c r="B532" s="269"/>
      <c r="D532" s="44"/>
    </row>
    <row r="533" spans="1:7" ht="12.75">
      <c r="B533" s="606" t="s">
        <v>79</v>
      </c>
      <c r="C533" s="188"/>
      <c r="D533" s="1012" t="s">
        <v>1521</v>
      </c>
      <c r="E533" s="1012"/>
      <c r="F533" s="1012"/>
    </row>
    <row r="534" spans="1:7" ht="12.75">
      <c r="C534" s="188"/>
      <c r="D534" s="1012"/>
      <c r="E534" s="1012"/>
      <c r="F534" s="1012"/>
    </row>
    <row r="535" spans="1:7" ht="12.75">
      <c r="A535" s="189"/>
      <c r="B535" s="189"/>
      <c r="C535" s="189"/>
      <c r="D535" s="1012"/>
      <c r="E535" s="1012"/>
      <c r="F535" s="1012"/>
    </row>
    <row r="536" spans="1:7" ht="12.75">
      <c r="A536" s="189"/>
      <c r="B536" s="189"/>
      <c r="C536" s="189"/>
      <c r="D536" s="1012"/>
      <c r="E536" s="1012"/>
      <c r="F536" s="1012"/>
    </row>
    <row r="537" spans="1:7" ht="12.75">
      <c r="A537" s="189"/>
      <c r="B537" s="189"/>
      <c r="C537" s="189"/>
    </row>
    <row r="538" spans="1:7" ht="14.25">
      <c r="A538" s="269"/>
      <c r="B538" s="606" t="s">
        <v>79</v>
      </c>
      <c r="C538" s="205"/>
      <c r="D538" s="985" t="s">
        <v>2127</v>
      </c>
      <c r="E538" s="985"/>
      <c r="F538" s="985"/>
      <c r="G538"/>
    </row>
    <row r="539" spans="1:7" ht="12.75">
      <c r="A539" s="205"/>
      <c r="B539" s="205"/>
      <c r="C539" s="205"/>
      <c r="D539" s="985"/>
      <c r="E539" s="985"/>
      <c r="F539" s="985"/>
      <c r="G539"/>
    </row>
    <row r="540" spans="1:7" ht="12.75">
      <c r="A540" s="189"/>
      <c r="B540" s="189"/>
      <c r="C540" s="189"/>
      <c r="D540" s="44"/>
      <c r="G540"/>
    </row>
    <row r="541" spans="1:7" ht="12.75">
      <c r="A541" s="189"/>
      <c r="B541" s="606" t="s">
        <v>79</v>
      </c>
      <c r="C541" s="189"/>
      <c r="D541" s="925" t="s">
        <v>2067</v>
      </c>
      <c r="E541" s="926"/>
      <c r="G541"/>
    </row>
    <row r="542" spans="1:7" ht="12.75">
      <c r="A542" s="189"/>
      <c r="B542" s="189"/>
      <c r="C542" s="189"/>
      <c r="D542" s="926"/>
      <c r="E542" s="102" t="s">
        <v>2068</v>
      </c>
      <c r="G542"/>
    </row>
    <row r="543" spans="1:7" ht="14.25">
      <c r="A543" s="269"/>
      <c r="B543"/>
      <c r="D543" s="1041" t="s">
        <v>2128</v>
      </c>
      <c r="E543" s="1041"/>
      <c r="F543" s="1041"/>
      <c r="G543"/>
    </row>
    <row r="544" spans="1:7" ht="14.25">
      <c r="A544" s="269"/>
      <c r="B544" s="269"/>
      <c r="D544" s="1041"/>
      <c r="E544" s="1041"/>
      <c r="F544" s="1041"/>
      <c r="G544"/>
    </row>
    <row r="545" spans="1:7" ht="12.75">
      <c r="D545" s="1041"/>
      <c r="E545" s="1041"/>
      <c r="F545" s="1041"/>
    </row>
    <row r="546" spans="1:7" ht="12" customHeight="1">
      <c r="A546" s="44"/>
      <c r="B546" s="44"/>
      <c r="C546" s="205"/>
      <c r="E546" s="44"/>
    </row>
    <row r="547" spans="1:7" ht="12.75">
      <c r="A547" s="1038" t="s">
        <v>1390</v>
      </c>
      <c r="B547" s="1038"/>
      <c r="C547" s="1038"/>
      <c r="D547" s="1038"/>
      <c r="E547" s="1038"/>
      <c r="F547" s="1038"/>
      <c r="G547" s="1038"/>
    </row>
    <row r="548" spans="1:7" ht="12" customHeight="1">
      <c r="A548" s="44"/>
      <c r="B548" s="44"/>
      <c r="C548" s="205"/>
      <c r="E548" s="44"/>
    </row>
    <row r="549" spans="1:7" ht="12.75">
      <c r="C549" s="205"/>
      <c r="D549" s="1005" t="s">
        <v>1419</v>
      </c>
      <c r="E549" s="1005"/>
      <c r="F549" s="1005"/>
    </row>
    <row r="550" spans="1:7" ht="12.75"/>
    <row r="551" spans="1:7" ht="12.75">
      <c r="B551" s="606" t="s">
        <v>79</v>
      </c>
      <c r="D551" s="985" t="s">
        <v>1547</v>
      </c>
      <c r="E551" s="985"/>
      <c r="F551" s="985"/>
    </row>
    <row r="552" spans="1:7" ht="12.75">
      <c r="D552" s="985"/>
      <c r="E552" s="985"/>
      <c r="F552" s="985"/>
    </row>
    <row r="553" spans="1:7" ht="12" customHeight="1">
      <c r="A553" s="205"/>
      <c r="B553" s="205"/>
      <c r="C553" s="205"/>
      <c r="D553" s="44"/>
    </row>
    <row r="554" spans="1:7" ht="14.25">
      <c r="A554" s="269"/>
      <c r="B554" s="606" t="s">
        <v>79</v>
      </c>
      <c r="C554" s="205"/>
      <c r="D554" s="985" t="s">
        <v>1548</v>
      </c>
      <c r="E554" s="985"/>
      <c r="F554" s="985"/>
    </row>
    <row r="555" spans="1:7" ht="12.75">
      <c r="A555" s="205"/>
      <c r="B555" s="205"/>
      <c r="C555" s="205"/>
      <c r="D555" s="985"/>
      <c r="E555" s="985"/>
      <c r="F555" s="985"/>
    </row>
    <row r="556" spans="1:7" ht="12" customHeight="1">
      <c r="A556" s="205"/>
      <c r="B556" s="205"/>
      <c r="C556" s="205"/>
      <c r="D556" s="44"/>
    </row>
    <row r="557" spans="1:7" ht="12.75">
      <c r="A557" s="1016" t="s">
        <v>1426</v>
      </c>
      <c r="B557" s="1016"/>
      <c r="C557" s="1016"/>
      <c r="D557" s="1016"/>
      <c r="E557" s="1016"/>
      <c r="F557" s="1016"/>
      <c r="G557" s="1016"/>
    </row>
    <row r="558" spans="1:7" ht="12" customHeight="1">
      <c r="A558" s="44"/>
      <c r="B558" s="44"/>
      <c r="C558" s="205"/>
      <c r="D558" s="44"/>
    </row>
    <row r="559" spans="1:7" ht="12.75">
      <c r="C559" s="205"/>
      <c r="D559" s="1005" t="s">
        <v>164</v>
      </c>
      <c r="E559" s="1005"/>
      <c r="F559" s="1005"/>
    </row>
    <row r="560" spans="1:7" ht="12.75">
      <c r="C560" s="205"/>
      <c r="D560" s="1004" t="s">
        <v>1530</v>
      </c>
      <c r="E560" s="1004"/>
      <c r="F560" s="1004"/>
    </row>
    <row r="561" spans="1:7" ht="12.75">
      <c r="C561" s="205"/>
      <c r="D561" s="44"/>
      <c r="E561" s="44"/>
      <c r="F561" s="44"/>
    </row>
    <row r="562" spans="1:7" ht="14.25">
      <c r="A562" s="269"/>
      <c r="B562" s="606" t="s">
        <v>79</v>
      </c>
      <c r="C562" s="205"/>
      <c r="D562" s="1004" t="s">
        <v>1113</v>
      </c>
      <c r="E562" s="1004"/>
      <c r="F562" s="1004"/>
    </row>
    <row r="563" spans="1:7" ht="12" customHeight="1">
      <c r="A563" s="205"/>
      <c r="B563" s="205"/>
      <c r="C563" s="205"/>
      <c r="D563" s="44"/>
      <c r="E563"/>
      <c r="F563"/>
      <c r="G563"/>
    </row>
    <row r="564" spans="1:7" ht="14.45" customHeight="1">
      <c r="A564" s="269"/>
      <c r="B564" s="606" t="s">
        <v>79</v>
      </c>
      <c r="C564" s="205"/>
      <c r="D564" s="985" t="s">
        <v>1529</v>
      </c>
      <c r="E564" s="985"/>
      <c r="F564" s="985"/>
      <c r="G564"/>
    </row>
    <row r="565" spans="1:7" ht="12.75">
      <c r="A565" s="205"/>
      <c r="B565" s="205"/>
      <c r="C565" s="205"/>
      <c r="D565" s="985"/>
      <c r="E565" s="985"/>
      <c r="F565" s="985"/>
      <c r="G565"/>
    </row>
    <row r="566" spans="1:7" ht="12" customHeight="1">
      <c r="A566" s="205"/>
      <c r="B566" s="205"/>
      <c r="C566" s="205"/>
      <c r="D566" s="44"/>
      <c r="E566"/>
      <c r="F566"/>
      <c r="G566"/>
    </row>
    <row r="567" spans="1:7" ht="14.25">
      <c r="A567" s="269"/>
      <c r="B567" s="606" t="s">
        <v>79</v>
      </c>
      <c r="C567" s="205"/>
      <c r="D567" s="985" t="s">
        <v>1531</v>
      </c>
      <c r="E567" s="985"/>
      <c r="F567" s="985"/>
      <c r="G567"/>
    </row>
    <row r="568" spans="1:7" ht="12.75">
      <c r="A568" s="205"/>
      <c r="B568" s="205"/>
      <c r="C568" s="205"/>
      <c r="D568" s="985"/>
      <c r="E568" s="985"/>
      <c r="F568" s="985"/>
      <c r="G568"/>
    </row>
    <row r="569" spans="1:7" ht="12" customHeight="1">
      <c r="A569" s="205"/>
      <c r="B569" s="205"/>
      <c r="C569" s="205"/>
      <c r="D569" s="44"/>
      <c r="E569"/>
      <c r="F569"/>
      <c r="G569"/>
    </row>
    <row r="570" spans="1:7" ht="14.25">
      <c r="A570" s="269"/>
      <c r="B570" s="606" t="s">
        <v>79</v>
      </c>
      <c r="C570" s="205"/>
      <c r="D570" s="985" t="s">
        <v>1532</v>
      </c>
      <c r="E570" s="985"/>
      <c r="F570" s="985"/>
      <c r="G570"/>
    </row>
    <row r="571" spans="1:7" ht="12.75">
      <c r="A571" s="205"/>
      <c r="B571" s="205"/>
      <c r="C571" s="205"/>
      <c r="D571" s="985"/>
      <c r="E571" s="985"/>
      <c r="F571" s="985"/>
      <c r="G571"/>
    </row>
    <row r="572" spans="1:7" ht="12" customHeight="1">
      <c r="A572" s="205"/>
      <c r="B572" s="205"/>
      <c r="C572" s="205"/>
      <c r="D572" s="44"/>
      <c r="E572"/>
      <c r="F572"/>
      <c r="G572"/>
    </row>
    <row r="573" spans="1:7" ht="14.45" customHeight="1">
      <c r="A573" s="269"/>
      <c r="B573" s="606" t="s">
        <v>79</v>
      </c>
      <c r="C573" s="205"/>
      <c r="D573" s="985" t="s">
        <v>1533</v>
      </c>
      <c r="E573" s="985"/>
      <c r="F573" s="985"/>
      <c r="G573"/>
    </row>
    <row r="574" spans="1:7" ht="12.75">
      <c r="A574" s="205"/>
      <c r="B574" s="205"/>
      <c r="C574" s="205"/>
      <c r="D574" s="985"/>
      <c r="E574" s="985"/>
      <c r="F574" s="985"/>
      <c r="G574"/>
    </row>
    <row r="575" spans="1:7" ht="12.75">
      <c r="A575" s="205"/>
      <c r="B575" s="205"/>
      <c r="C575" s="205"/>
      <c r="D575" s="985"/>
      <c r="E575" s="985"/>
      <c r="F575" s="985"/>
      <c r="G575"/>
    </row>
    <row r="576" spans="1:7" ht="12.75">
      <c r="A576" s="205"/>
      <c r="B576" s="205"/>
      <c r="C576" s="205"/>
      <c r="D576" s="44"/>
      <c r="E576"/>
      <c r="F576"/>
      <c r="G576"/>
    </row>
    <row r="577" spans="1:7" ht="14.25">
      <c r="A577" s="269"/>
      <c r="B577" s="606" t="s">
        <v>79</v>
      </c>
      <c r="C577" s="205"/>
      <c r="D577" s="977" t="s">
        <v>1626</v>
      </c>
      <c r="E577" s="985"/>
      <c r="F577" s="985"/>
      <c r="G577"/>
    </row>
    <row r="578" spans="1:7" ht="12.75">
      <c r="A578" s="205"/>
      <c r="B578" s="205"/>
      <c r="C578" s="205"/>
      <c r="D578" s="985"/>
      <c r="E578" s="985"/>
      <c r="F578" s="985"/>
      <c r="G578"/>
    </row>
    <row r="579" spans="1:7" ht="12.75">
      <c r="A579" s="205"/>
      <c r="B579" s="205"/>
      <c r="C579" s="205"/>
      <c r="D579" s="44"/>
      <c r="G579"/>
    </row>
    <row r="580" spans="1:7" ht="14.25">
      <c r="A580" s="269"/>
      <c r="B580" s="606" t="s">
        <v>79</v>
      </c>
      <c r="C580" s="205"/>
      <c r="D580" s="985" t="s">
        <v>1534</v>
      </c>
      <c r="E580" s="985"/>
      <c r="F580" s="985"/>
      <c r="G580"/>
    </row>
    <row r="581" spans="1:7" ht="12.75">
      <c r="A581" s="205"/>
      <c r="B581" s="205"/>
      <c r="C581" s="205"/>
      <c r="D581" s="985"/>
      <c r="E581" s="985"/>
      <c r="F581" s="985"/>
      <c r="G581"/>
    </row>
    <row r="582" spans="1:7" ht="12" customHeight="1">
      <c r="A582" s="205"/>
      <c r="B582" s="205"/>
      <c r="C582" s="205"/>
      <c r="D582" s="44"/>
      <c r="G582"/>
    </row>
    <row r="583" spans="1:7" ht="14.25">
      <c r="A583" s="269"/>
      <c r="B583" s="606" t="s">
        <v>79</v>
      </c>
      <c r="C583" s="205"/>
      <c r="D583" s="1004" t="s">
        <v>1535</v>
      </c>
      <c r="E583" s="1004"/>
      <c r="F583" s="1004"/>
      <c r="G583"/>
    </row>
    <row r="584" spans="1:7" ht="14.25">
      <c r="A584" s="269"/>
      <c r="B584" s="269"/>
      <c r="C584" s="205"/>
      <c r="D584" s="1045" t="s">
        <v>2069</v>
      </c>
      <c r="E584" s="1045"/>
      <c r="F584" s="1045"/>
      <c r="G584"/>
    </row>
    <row r="585" spans="1:7" ht="12.75">
      <c r="A585" s="18"/>
      <c r="B585" s="18"/>
      <c r="C585" s="205"/>
      <c r="D585" s="927"/>
      <c r="E585" s="102" t="s">
        <v>2070</v>
      </c>
      <c r="F585" s="928"/>
      <c r="G585"/>
    </row>
    <row r="586" spans="1:7" ht="15" customHeight="1">
      <c r="A586" s="18"/>
      <c r="B586" s="18"/>
      <c r="C586" s="205"/>
      <c r="D586" s="977" t="s">
        <v>1744</v>
      </c>
      <c r="E586" s="985"/>
      <c r="F586" s="985"/>
      <c r="G586"/>
    </row>
    <row r="587" spans="1:7" ht="12.75">
      <c r="A587" s="18"/>
      <c r="B587" s="18"/>
      <c r="C587" s="205"/>
      <c r="D587" s="985"/>
      <c r="E587" s="985"/>
      <c r="F587" s="985"/>
      <c r="G587"/>
    </row>
    <row r="588" spans="1:7" ht="12.75">
      <c r="A588" s="18"/>
      <c r="B588" s="18"/>
      <c r="C588" s="205"/>
      <c r="D588" s="985"/>
      <c r="E588" s="985"/>
      <c r="F588" s="985"/>
      <c r="G588"/>
    </row>
    <row r="589" spans="1:7" ht="12.75">
      <c r="A589" s="18"/>
      <c r="B589" s="18"/>
      <c r="C589" s="205"/>
      <c r="D589" s="985"/>
      <c r="E589" s="985"/>
      <c r="F589" s="985"/>
      <c r="G589"/>
    </row>
    <row r="590" spans="1:7" ht="12.75">
      <c r="A590" s="18"/>
      <c r="B590" s="18"/>
      <c r="C590" s="205"/>
      <c r="D590" s="985"/>
      <c r="E590" s="985"/>
      <c r="F590" s="985"/>
      <c r="G590"/>
    </row>
    <row r="591" spans="1:7" ht="12.75">
      <c r="A591" s="18"/>
      <c r="B591" s="18"/>
      <c r="C591" s="205"/>
      <c r="D591" s="985"/>
      <c r="E591" s="985"/>
      <c r="F591" s="985"/>
      <c r="G591"/>
    </row>
    <row r="592" spans="1:7" ht="12.75">
      <c r="A592" s="18"/>
      <c r="B592" s="18"/>
      <c r="C592" s="205"/>
      <c r="D592" s="985"/>
      <c r="E592" s="985"/>
      <c r="F592" s="985"/>
      <c r="G592"/>
    </row>
    <row r="593" spans="1:7" ht="12.75">
      <c r="A593" s="18"/>
      <c r="B593" s="18"/>
      <c r="C593" s="205"/>
      <c r="D593" s="985"/>
      <c r="E593" s="985"/>
      <c r="F593" s="985"/>
      <c r="G593"/>
    </row>
    <row r="594" spans="1:7" ht="12.75">
      <c r="A594" s="18"/>
      <c r="B594" s="18"/>
      <c r="C594" s="205"/>
      <c r="D594" s="985"/>
      <c r="E594" s="985"/>
      <c r="F594" s="985"/>
      <c r="G594"/>
    </row>
    <row r="595" spans="1:7" ht="12.75">
      <c r="A595" s="18"/>
      <c r="B595" s="18"/>
      <c r="C595" s="205"/>
      <c r="D595" s="207"/>
      <c r="E595" s="207"/>
      <c r="F595" s="207"/>
      <c r="G595"/>
    </row>
    <row r="596" spans="1:7" ht="14.25">
      <c r="A596" s="269"/>
      <c r="B596" s="606" t="s">
        <v>79</v>
      </c>
      <c r="C596" s="205"/>
      <c r="D596" s="1004" t="s">
        <v>1536</v>
      </c>
      <c r="E596" s="1004"/>
      <c r="F596" s="1004"/>
      <c r="G596"/>
    </row>
    <row r="597" spans="1:7" ht="13.7" customHeight="1">
      <c r="C597" s="205"/>
      <c r="D597" s="985" t="s">
        <v>1537</v>
      </c>
      <c r="E597" s="985"/>
      <c r="F597" s="985"/>
      <c r="G597"/>
    </row>
    <row r="598" spans="1:7" ht="12.75">
      <c r="A598" s="205"/>
      <c r="B598" s="205"/>
      <c r="C598" s="205"/>
      <c r="D598" s="985"/>
      <c r="E598" s="985"/>
      <c r="F598" s="985"/>
      <c r="G598"/>
    </row>
    <row r="599" spans="1:7" ht="12.75">
      <c r="A599" s="205"/>
      <c r="B599" s="205"/>
      <c r="C599" s="205"/>
      <c r="D599" s="985"/>
      <c r="E599" s="985"/>
      <c r="F599" s="985"/>
      <c r="G599"/>
    </row>
    <row r="600" spans="1:7" ht="12.75">
      <c r="A600" s="205"/>
      <c r="B600" s="205"/>
      <c r="C600" s="205"/>
      <c r="D600" s="207"/>
      <c r="E600" s="207"/>
      <c r="F600" s="207"/>
      <c r="G600"/>
    </row>
    <row r="601" spans="1:7" ht="14.45" customHeight="1">
      <c r="A601" s="269"/>
      <c r="B601" s="606" t="s">
        <v>79</v>
      </c>
      <c r="C601" s="205"/>
      <c r="D601" s="985" t="s">
        <v>2129</v>
      </c>
      <c r="E601" s="985"/>
      <c r="F601" s="985"/>
      <c r="G601"/>
    </row>
    <row r="602" spans="1:7" ht="14.25">
      <c r="A602" s="269"/>
      <c r="B602" s="269"/>
      <c r="C602" s="205"/>
      <c r="D602" s="985"/>
      <c r="E602" s="985"/>
      <c r="F602" s="985"/>
      <c r="G602"/>
    </row>
    <row r="603" spans="1:7" ht="14.25">
      <c r="A603" s="269"/>
      <c r="B603" s="269"/>
      <c r="C603" s="205"/>
      <c r="D603" s="985"/>
      <c r="E603" s="985"/>
      <c r="F603" s="985"/>
    </row>
    <row r="604" spans="1:7" ht="12.75">
      <c r="A604" s="205"/>
      <c r="B604" s="205"/>
      <c r="C604" s="205"/>
      <c r="D604" s="985"/>
      <c r="E604" s="985"/>
      <c r="F604" s="985"/>
    </row>
    <row r="605" spans="1:7" ht="12.75">
      <c r="A605" s="205"/>
      <c r="B605" s="205"/>
      <c r="C605" s="205"/>
      <c r="D605" s="44"/>
    </row>
    <row r="606" spans="1:7" ht="12.75">
      <c r="A606" s="189"/>
      <c r="B606" s="606" t="s">
        <v>79</v>
      </c>
      <c r="C606" s="189"/>
      <c r="D606" s="1037" t="s">
        <v>1802</v>
      </c>
      <c r="E606" s="1014"/>
      <c r="F606" s="1014"/>
    </row>
    <row r="607" spans="1:7" ht="12.75">
      <c r="A607" s="189"/>
      <c r="B607" s="189"/>
      <c r="C607" s="189"/>
    </row>
    <row r="608" spans="1:7" ht="12.75">
      <c r="A608" s="205"/>
      <c r="B608" s="205"/>
      <c r="C608" s="205"/>
      <c r="D608" s="24"/>
      <c r="E608" s="24"/>
      <c r="F608" s="24"/>
    </row>
    <row r="609" spans="1:7" ht="12.75">
      <c r="A609" s="1038" t="s">
        <v>1392</v>
      </c>
      <c r="B609" s="1038"/>
      <c r="C609" s="1038"/>
      <c r="D609" s="1038"/>
      <c r="E609" s="1038"/>
      <c r="F609" s="1038"/>
      <c r="G609" s="1038"/>
    </row>
    <row r="610" spans="1:7" ht="12.75">
      <c r="A610" s="205"/>
      <c r="B610" s="205"/>
      <c r="C610" s="205"/>
    </row>
    <row r="611" spans="1:7" ht="12.75">
      <c r="C611" s="188"/>
      <c r="D611" s="1011" t="s">
        <v>165</v>
      </c>
      <c r="E611" s="1011"/>
      <c r="F611" s="1011"/>
    </row>
    <row r="612" spans="1:7" ht="12.75">
      <c r="C612" s="188"/>
      <c r="D612" s="1007" t="s">
        <v>1440</v>
      </c>
      <c r="E612" s="1007"/>
      <c r="F612" s="1007"/>
    </row>
    <row r="613" spans="1:7" ht="12.75">
      <c r="C613" s="188"/>
      <c r="D613" s="368"/>
    </row>
    <row r="614" spans="1:7" ht="14.25">
      <c r="A614" s="269"/>
      <c r="B614" s="606" t="s">
        <v>79</v>
      </c>
      <c r="D614" s="1007" t="s">
        <v>1114</v>
      </c>
      <c r="E614" s="1007"/>
      <c r="F614" s="1007"/>
    </row>
    <row r="615" spans="1:7" ht="12.75">
      <c r="A615" s="18"/>
      <c r="B615" s="18"/>
      <c r="D615" s="358"/>
    </row>
    <row r="616" spans="1:7" ht="14.45" customHeight="1">
      <c r="A616" s="269"/>
      <c r="B616" s="606" t="s">
        <v>79</v>
      </c>
      <c r="D616" s="1007" t="s">
        <v>2130</v>
      </c>
      <c r="E616" s="1007"/>
      <c r="F616" s="1007"/>
    </row>
    <row r="617" spans="1:7" ht="14.45" customHeight="1">
      <c r="A617" s="269"/>
      <c r="B617" s="269"/>
      <c r="D617" s="1007"/>
      <c r="E617" s="1007"/>
      <c r="F617" s="1007"/>
    </row>
    <row r="618" spans="1:7" ht="14.25">
      <c r="A618" s="269"/>
      <c r="B618" s="269"/>
      <c r="D618" s="1007"/>
      <c r="E618" s="1007"/>
      <c r="F618" s="1007"/>
    </row>
    <row r="619" spans="1:7" ht="14.25">
      <c r="A619" s="269"/>
      <c r="B619" s="269"/>
      <c r="D619" s="610"/>
      <c r="E619" s="610"/>
      <c r="F619" s="610"/>
    </row>
    <row r="620" spans="1:7" ht="14.25">
      <c r="A620" s="269"/>
      <c r="B620" s="606" t="s">
        <v>79</v>
      </c>
      <c r="D620" s="1007" t="s">
        <v>1441</v>
      </c>
      <c r="E620" s="1007"/>
      <c r="F620" s="1007"/>
    </row>
    <row r="621" spans="1:7" ht="14.25">
      <c r="A621" s="269"/>
      <c r="B621" s="269"/>
      <c r="D621" s="1007"/>
      <c r="E621" s="1007"/>
      <c r="F621" s="1007"/>
    </row>
    <row r="622" spans="1:7" ht="14.25">
      <c r="A622" s="269"/>
      <c r="B622" s="269"/>
      <c r="D622" s="1007"/>
      <c r="E622" s="1007"/>
      <c r="F622" s="1007"/>
    </row>
    <row r="623" spans="1:7" ht="14.25">
      <c r="A623" s="269"/>
      <c r="B623" s="269"/>
      <c r="D623" s="1007"/>
      <c r="E623" s="1007"/>
      <c r="F623" s="1007"/>
    </row>
    <row r="624" spans="1:7" ht="14.25">
      <c r="A624" s="269"/>
      <c r="B624" s="269"/>
      <c r="D624" s="368"/>
    </row>
    <row r="625" spans="1:7" ht="14.25">
      <c r="A625" s="269"/>
      <c r="B625" s="606" t="s">
        <v>79</v>
      </c>
      <c r="D625" s="1007" t="s">
        <v>2131</v>
      </c>
      <c r="E625" s="1007"/>
      <c r="F625" s="1007"/>
    </row>
    <row r="626" spans="1:7" ht="14.25">
      <c r="A626" s="269"/>
      <c r="B626" s="269"/>
      <c r="D626" s="1007"/>
      <c r="E626" s="1007"/>
      <c r="F626" s="1007"/>
    </row>
    <row r="627" spans="1:7" ht="14.25">
      <c r="A627" s="269"/>
      <c r="B627" s="269"/>
      <c r="D627" s="368"/>
    </row>
    <row r="628" spans="1:7" ht="14.45" customHeight="1">
      <c r="A628" s="269"/>
      <c r="B628" s="606" t="s">
        <v>79</v>
      </c>
      <c r="D628" s="1007" t="s">
        <v>1445</v>
      </c>
      <c r="E628" s="1007"/>
      <c r="F628" s="1007"/>
    </row>
    <row r="629" spans="1:7" ht="14.25">
      <c r="A629" s="269"/>
      <c r="B629" s="269"/>
      <c r="D629" s="1007"/>
      <c r="E629" s="1007"/>
      <c r="F629" s="1007"/>
    </row>
    <row r="630" spans="1:7" ht="14.25">
      <c r="A630" s="269"/>
      <c r="B630" s="269"/>
      <c r="D630" s="368"/>
    </row>
    <row r="631" spans="1:7" ht="14.25">
      <c r="A631" s="269"/>
      <c r="B631" s="606" t="s">
        <v>79</v>
      </c>
      <c r="D631" s="1007" t="s">
        <v>1115</v>
      </c>
      <c r="E631" s="1007"/>
      <c r="F631" s="1007"/>
    </row>
    <row r="632" spans="1:7" ht="12.75">
      <c r="A632" s="18"/>
      <c r="B632" s="18"/>
    </row>
    <row r="633" spans="1:7" ht="12.75">
      <c r="A633" s="1038" t="s">
        <v>1394</v>
      </c>
      <c r="B633" s="1038"/>
      <c r="C633" s="1038"/>
      <c r="D633" s="1038"/>
      <c r="E633" s="1038"/>
      <c r="F633" s="1038"/>
      <c r="G633" s="1038"/>
    </row>
    <row r="634" spans="1:7" ht="12.75">
      <c r="A634" s="63"/>
      <c r="B634" s="63"/>
    </row>
    <row r="635" spans="1:7" ht="12.75">
      <c r="C635" s="189"/>
      <c r="D635" s="1034" t="s">
        <v>1393</v>
      </c>
      <c r="E635" s="1034"/>
      <c r="F635" s="1034"/>
    </row>
    <row r="636" spans="1:7" ht="12.75">
      <c r="C636" s="189"/>
      <c r="D636" s="1014" t="s">
        <v>1420</v>
      </c>
      <c r="E636" s="1014"/>
      <c r="F636" s="1014"/>
    </row>
    <row r="637" spans="1:7" ht="12.75">
      <c r="C637" s="189"/>
      <c r="D637" s="100"/>
      <c r="E637" s="100"/>
      <c r="F637" s="100"/>
    </row>
    <row r="638" spans="1:7" ht="14.25" customHeight="1">
      <c r="A638" s="269"/>
      <c r="B638" s="606" t="s">
        <v>79</v>
      </c>
      <c r="D638" s="1057" t="s">
        <v>2072</v>
      </c>
      <c r="E638" s="1058"/>
      <c r="F638" s="1058"/>
    </row>
    <row r="639" spans="1:7" ht="12.75">
      <c r="D639" s="1058"/>
      <c r="E639" s="1058"/>
      <c r="F639" s="1058"/>
    </row>
    <row r="640" spans="1:7" ht="12.75">
      <c r="D640" s="929"/>
      <c r="E640" s="923" t="s">
        <v>2071</v>
      </c>
      <c r="F640" s="929"/>
    </row>
    <row r="641" spans="1:7" ht="12.75">
      <c r="D641" s="929"/>
      <c r="E641" s="923"/>
      <c r="F641" s="929"/>
    </row>
    <row r="642" spans="1:7" ht="12.75">
      <c r="B642" s="606" t="s">
        <v>79</v>
      </c>
      <c r="D642" s="1057" t="s">
        <v>2306</v>
      </c>
      <c r="E642" s="1057"/>
      <c r="F642" s="1057"/>
    </row>
    <row r="643" spans="1:7" ht="12.75">
      <c r="D643" s="1057"/>
      <c r="E643" s="1057"/>
      <c r="F643" s="1057"/>
    </row>
    <row r="644" spans="1:7" ht="12.75">
      <c r="D644" s="1057"/>
      <c r="E644" s="1057"/>
      <c r="F644" s="1057"/>
    </row>
    <row r="645" spans="1:7" ht="12.75">
      <c r="D645" s="1057"/>
      <c r="E645" s="1057"/>
      <c r="F645" s="1057"/>
    </row>
    <row r="646" spans="1:7" ht="12.75">
      <c r="D646" s="929"/>
      <c r="E646" s="923"/>
      <c r="F646" s="929"/>
    </row>
    <row r="647" spans="1:7" ht="12.75">
      <c r="A647" s="63"/>
      <c r="B647" s="63"/>
    </row>
    <row r="648" spans="1:7" ht="12" customHeight="1">
      <c r="A648" s="1038" t="s">
        <v>1396</v>
      </c>
      <c r="B648" s="1038"/>
      <c r="C648" s="1038"/>
      <c r="D648" s="1038"/>
      <c r="E648" s="1038"/>
      <c r="F648" s="1038"/>
      <c r="G648" s="1038"/>
    </row>
    <row r="649" spans="1:7" ht="12.75">
      <c r="A649" s="44"/>
      <c r="B649" s="44"/>
    </row>
    <row r="650" spans="1:7" ht="12.75">
      <c r="C650" s="188"/>
      <c r="D650" s="1005" t="s">
        <v>1395</v>
      </c>
      <c r="E650" s="1005"/>
      <c r="F650" s="1005"/>
    </row>
    <row r="651" spans="1:7" ht="12.75">
      <c r="A651" s="189"/>
      <c r="B651" s="189"/>
      <c r="C651" s="189"/>
      <c r="D651" s="1004" t="s">
        <v>1549</v>
      </c>
      <c r="E651" s="1004"/>
      <c r="F651" s="1004"/>
    </row>
    <row r="652" spans="1:7" ht="12.75">
      <c r="A652" s="189"/>
      <c r="B652" s="189"/>
      <c r="C652" s="189"/>
    </row>
    <row r="653" spans="1:7" ht="14.25">
      <c r="A653" s="269"/>
      <c r="B653" s="269"/>
      <c r="D653" s="1034" t="s">
        <v>870</v>
      </c>
      <c r="E653" s="1034"/>
      <c r="F653" s="1034"/>
    </row>
    <row r="654" spans="1:7" ht="14.25">
      <c r="A654" s="269"/>
      <c r="B654" s="606" t="s">
        <v>79</v>
      </c>
      <c r="D654" s="1014" t="s">
        <v>1550</v>
      </c>
      <c r="E654" s="1014"/>
      <c r="F654" s="1014"/>
    </row>
    <row r="655" spans="1:7" ht="14.25">
      <c r="A655" s="269"/>
      <c r="B655" s="269"/>
      <c r="D655" s="44"/>
    </row>
    <row r="656" spans="1:7" ht="14.25">
      <c r="A656" s="269"/>
      <c r="B656" s="606" t="s">
        <v>79</v>
      </c>
      <c r="D656" s="985" t="s">
        <v>1551</v>
      </c>
      <c r="E656" s="985"/>
      <c r="F656" s="985"/>
    </row>
    <row r="657" spans="1:7" ht="14.25">
      <c r="A657" s="269"/>
      <c r="B657" s="269"/>
      <c r="D657" s="985"/>
      <c r="E657" s="985"/>
      <c r="F657" s="985"/>
    </row>
    <row r="658" spans="1:7" ht="14.25">
      <c r="A658" s="269"/>
      <c r="B658" s="269"/>
      <c r="D658" s="44"/>
    </row>
    <row r="659" spans="1:7" ht="14.25">
      <c r="A659" s="269"/>
      <c r="B659" s="606" t="s">
        <v>79</v>
      </c>
      <c r="D659" s="977" t="s">
        <v>1910</v>
      </c>
      <c r="E659" s="977"/>
      <c r="F659" s="977"/>
    </row>
    <row r="660" spans="1:7" ht="13.7" customHeight="1">
      <c r="D660" s="977"/>
      <c r="E660" s="977"/>
      <c r="F660" s="977"/>
    </row>
    <row r="661" spans="1:7" ht="12.75"/>
    <row r="662" spans="1:7" ht="14.25">
      <c r="A662" s="269"/>
      <c r="B662" s="606" t="s">
        <v>79</v>
      </c>
      <c r="D662" s="1014" t="s">
        <v>1552</v>
      </c>
      <c r="E662" s="1014"/>
      <c r="F662" s="1014"/>
    </row>
    <row r="663" spans="1:7" ht="12.75">
      <c r="A663" s="188"/>
      <c r="B663" s="188"/>
      <c r="C663" s="188"/>
    </row>
    <row r="664" spans="1:7" ht="12.75">
      <c r="A664" s="1038" t="s">
        <v>1397</v>
      </c>
      <c r="B664" s="1038"/>
      <c r="C664" s="1038"/>
      <c r="D664" s="1038"/>
      <c r="E664" s="1038"/>
      <c r="F664" s="1038"/>
      <c r="G664" s="1038"/>
    </row>
    <row r="665" spans="1:7" ht="12.75">
      <c r="A665" s="188"/>
      <c r="B665" s="188"/>
      <c r="C665" s="188"/>
    </row>
    <row r="666" spans="1:7" ht="12.75">
      <c r="C666" s="18"/>
      <c r="D666" s="1022" t="s">
        <v>1421</v>
      </c>
      <c r="E666" s="1022"/>
      <c r="F666" s="1022"/>
    </row>
    <row r="667" spans="1:7" ht="12.75">
      <c r="A667" s="18"/>
      <c r="B667" s="18"/>
      <c r="D667" s="3"/>
    </row>
    <row r="668" spans="1:7" ht="14.25" customHeight="1">
      <c r="A668" s="269"/>
      <c r="B668" s="606" t="s">
        <v>79</v>
      </c>
      <c r="D668" s="1057" t="s">
        <v>2132</v>
      </c>
      <c r="E668" s="1057"/>
      <c r="F668" s="1057"/>
    </row>
    <row r="669" spans="1:7" ht="14.25">
      <c r="A669" s="269"/>
      <c r="B669" s="269"/>
      <c r="D669" s="1057"/>
      <c r="E669" s="1057"/>
      <c r="F669" s="1057"/>
    </row>
    <row r="670" spans="1:7" ht="12.75">
      <c r="D670" s="929"/>
      <c r="E670" s="923" t="s">
        <v>2074</v>
      </c>
      <c r="F670" s="929"/>
    </row>
    <row r="671" spans="1:7" ht="12.75">
      <c r="D671" s="982" t="s">
        <v>2073</v>
      </c>
      <c r="E671" s="982"/>
      <c r="F671" s="982"/>
    </row>
    <row r="672" spans="1:7" ht="12.75" customHeight="1">
      <c r="D672" s="982"/>
      <c r="E672" s="982"/>
      <c r="F672" s="982"/>
    </row>
    <row r="673" spans="1:9" ht="12.75">
      <c r="B673"/>
      <c r="D673" s="982"/>
      <c r="E673" s="982"/>
      <c r="F673" s="982"/>
    </row>
    <row r="674" spans="1:9" ht="12.75"/>
    <row r="675" spans="1:9" ht="14.25">
      <c r="A675" s="301"/>
      <c r="B675" s="606" t="s">
        <v>79</v>
      </c>
      <c r="D675" s="1023" t="s">
        <v>1553</v>
      </c>
      <c r="E675" s="1023"/>
      <c r="F675" s="1023"/>
      <c r="G675" s="44"/>
    </row>
    <row r="676" spans="1:9" ht="14.25">
      <c r="A676" s="301"/>
      <c r="B676" s="301"/>
      <c r="D676" s="1023"/>
      <c r="E676" s="1023"/>
      <c r="F676" s="1023"/>
      <c r="G676" s="44"/>
    </row>
    <row r="677" spans="1:9" ht="14.25">
      <c r="A677" s="301"/>
      <c r="B677" s="301"/>
      <c r="D677" s="44"/>
      <c r="E677" s="44"/>
      <c r="F677" s="44"/>
      <c r="G677" s="44"/>
    </row>
    <row r="678" spans="1:9" ht="13.7" customHeight="1">
      <c r="A678" s="301"/>
      <c r="B678" s="606" t="s">
        <v>79</v>
      </c>
      <c r="D678" s="1025" t="s">
        <v>1803</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79</v>
      </c>
      <c r="C681" s="205"/>
      <c r="D681" s="1024" t="s">
        <v>1554</v>
      </c>
      <c r="E681" s="1024"/>
      <c r="F681" s="1024"/>
      <c r="G681" s="44"/>
    </row>
    <row r="682" spans="1:9" ht="12.75">
      <c r="A682" s="44"/>
      <c r="B682" s="44"/>
      <c r="C682" s="205"/>
      <c r="D682" s="44"/>
      <c r="E682" s="44"/>
      <c r="F682" s="44"/>
      <c r="G682" s="44"/>
      <c r="H682" s="265"/>
      <c r="I682" s="265"/>
    </row>
    <row r="683" spans="1:9" ht="12.75">
      <c r="A683" s="1038" t="s">
        <v>1399</v>
      </c>
      <c r="B683" s="1038"/>
      <c r="C683" s="1038"/>
      <c r="D683" s="1038"/>
      <c r="E683" s="1038"/>
      <c r="F683" s="1038"/>
      <c r="G683" s="1038"/>
    </row>
    <row r="684" spans="1:9" ht="12.75">
      <c r="A684" s="44"/>
      <c r="B684" s="44"/>
      <c r="C684" s="205"/>
      <c r="D684" s="44"/>
      <c r="E684" s="44"/>
      <c r="F684" s="44"/>
      <c r="G684" s="44"/>
    </row>
    <row r="685" spans="1:9" ht="12.75">
      <c r="C685" s="188"/>
      <c r="D685" s="1005" t="s">
        <v>1398</v>
      </c>
      <c r="E685" s="1005"/>
      <c r="F685" s="1005"/>
      <c r="G685" s="44"/>
    </row>
    <row r="686" spans="1:9" ht="12.75">
      <c r="A686" s="189"/>
      <c r="B686" s="189"/>
      <c r="C686" s="189"/>
      <c r="D686" s="1004" t="s">
        <v>1422</v>
      </c>
      <c r="E686" s="1004"/>
      <c r="F686" s="1004"/>
      <c r="G686" s="44"/>
    </row>
    <row r="687" spans="1:9" ht="12.75">
      <c r="A687" s="189"/>
      <c r="B687" s="189"/>
      <c r="C687" s="189"/>
      <c r="D687" s="44"/>
      <c r="E687" s="44"/>
      <c r="F687" s="44"/>
      <c r="G687" s="44"/>
    </row>
    <row r="688" spans="1:9" ht="14.45" customHeight="1">
      <c r="A688" s="269"/>
      <c r="B688" s="606" t="s">
        <v>79</v>
      </c>
      <c r="C688" s="205"/>
      <c r="D688" s="977" t="s">
        <v>1866</v>
      </c>
      <c r="E688" s="977"/>
      <c r="F688" s="977"/>
      <c r="G688" s="44"/>
    </row>
    <row r="689" spans="1:7" ht="14.25">
      <c r="A689" s="269"/>
      <c r="B689" s="269"/>
      <c r="C689" s="205"/>
      <c r="D689" s="977"/>
      <c r="E689" s="977"/>
      <c r="F689" s="977"/>
      <c r="G689" s="44"/>
    </row>
    <row r="690" spans="1:7" ht="14.25">
      <c r="A690" s="269"/>
      <c r="B690" s="269"/>
      <c r="C690" s="205"/>
      <c r="D690" s="977"/>
      <c r="E690" s="977"/>
      <c r="F690" s="977"/>
      <c r="G690" s="44"/>
    </row>
    <row r="691" spans="1:7" ht="14.25">
      <c r="A691" s="269"/>
      <c r="B691" s="269"/>
      <c r="C691" s="205"/>
      <c r="D691" s="977"/>
      <c r="E691" s="977"/>
      <c r="F691" s="977"/>
      <c r="G691" s="44"/>
    </row>
    <row r="692" spans="1:7" ht="14.25">
      <c r="A692" s="269"/>
      <c r="B692" s="269"/>
      <c r="C692" s="205"/>
      <c r="D692" s="977"/>
      <c r="E692" s="977"/>
      <c r="F692" s="977"/>
      <c r="G692" s="44"/>
    </row>
    <row r="693" spans="1:7" ht="14.25">
      <c r="A693" s="269"/>
      <c r="B693" s="269"/>
      <c r="C693" s="205"/>
      <c r="D693" s="977"/>
      <c r="E693" s="977"/>
      <c r="F693" s="977"/>
      <c r="G693" s="44"/>
    </row>
    <row r="694" spans="1:7" ht="14.25" hidden="1">
      <c r="A694" s="269"/>
      <c r="B694" s="269"/>
      <c r="C694" s="205"/>
      <c r="D694" s="368"/>
      <c r="F694" s="44"/>
      <c r="G694" s="44"/>
    </row>
    <row r="695" spans="1:7" ht="14.25" hidden="1">
      <c r="A695" s="269"/>
      <c r="B695" s="606" t="s">
        <v>79</v>
      </c>
      <c r="C695" s="205"/>
      <c r="D695" s="1008" t="s">
        <v>1438</v>
      </c>
      <c r="E695" s="1008"/>
      <c r="F695" s="1008"/>
      <c r="G695" s="44"/>
    </row>
    <row r="696" spans="1:7" ht="14.25" hidden="1">
      <c r="A696" s="269"/>
      <c r="B696" s="269"/>
      <c r="C696" s="205"/>
      <c r="D696" s="1002" t="s">
        <v>2133</v>
      </c>
      <c r="E696" s="1002"/>
      <c r="F696" s="1002"/>
      <c r="G696" s="44"/>
    </row>
    <row r="697" spans="1:7" ht="14.25" hidden="1">
      <c r="A697" s="269"/>
      <c r="B697" s="269"/>
      <c r="C697" s="205"/>
      <c r="D697" s="1002"/>
      <c r="E697" s="1002"/>
      <c r="F697" s="1002"/>
      <c r="G697" s="44"/>
    </row>
    <row r="698" spans="1:7" ht="14.25" hidden="1">
      <c r="A698" s="269"/>
      <c r="B698" s="269"/>
      <c r="C698" s="205"/>
      <c r="D698" s="1002"/>
      <c r="E698" s="1002"/>
      <c r="F698" s="1002"/>
      <c r="G698" s="44"/>
    </row>
    <row r="699" spans="1:7" ht="14.25" hidden="1">
      <c r="A699" s="269"/>
      <c r="B699" s="269"/>
      <c r="C699" s="205"/>
      <c r="D699" s="1002"/>
      <c r="E699" s="1002"/>
      <c r="F699" s="1002"/>
      <c r="G699" s="44"/>
    </row>
    <row r="700" spans="1:7" ht="14.25" hidden="1">
      <c r="A700" s="269"/>
      <c r="B700" s="269"/>
      <c r="C700" s="205"/>
      <c r="D700" s="1002"/>
      <c r="E700" s="1002"/>
      <c r="F700" s="1002"/>
      <c r="G700" s="44"/>
    </row>
    <row r="701" spans="1:7" ht="14.25" hidden="1">
      <c r="A701" s="269"/>
      <c r="B701" s="269"/>
      <c r="C701" s="205"/>
      <c r="D701" s="1026" t="s">
        <v>1865</v>
      </c>
      <c r="E701" s="1026"/>
      <c r="F701" s="1026"/>
      <c r="G701" s="44"/>
    </row>
    <row r="702" spans="1:7" ht="12.75">
      <c r="A702" s="44"/>
      <c r="B702" s="44"/>
      <c r="C702" s="205"/>
      <c r="D702" s="44"/>
      <c r="E702" s="44"/>
      <c r="F702" s="44"/>
      <c r="G702" s="44"/>
    </row>
    <row r="703" spans="1:7" ht="12.75">
      <c r="A703" s="1038" t="s">
        <v>1400</v>
      </c>
      <c r="B703" s="1038"/>
      <c r="C703" s="1038"/>
      <c r="D703" s="1038"/>
      <c r="E703" s="1038"/>
      <c r="F703" s="1038"/>
      <c r="G703" s="1038"/>
    </row>
    <row r="704" spans="1:7" ht="12.75">
      <c r="A704" s="44"/>
      <c r="B704" s="44"/>
      <c r="C704" s="205"/>
      <c r="D704" s="44"/>
      <c r="E704" s="44"/>
      <c r="F704" s="44"/>
      <c r="G704" s="44"/>
    </row>
    <row r="705" spans="1:7" ht="12.75">
      <c r="C705" s="188"/>
      <c r="D705" s="1005" t="s">
        <v>783</v>
      </c>
      <c r="E705" s="1005"/>
      <c r="F705" s="1005"/>
      <c r="G705" s="44"/>
    </row>
    <row r="706" spans="1:7" ht="12.75">
      <c r="A706" s="188"/>
      <c r="B706" s="188"/>
      <c r="C706" s="188"/>
      <c r="D706" s="1005" t="s">
        <v>871</v>
      </c>
      <c r="E706" s="1005"/>
      <c r="F706" s="1005"/>
      <c r="G706" s="44"/>
    </row>
    <row r="707" spans="1:7" ht="12.75">
      <c r="A707" s="189"/>
      <c r="B707" s="189"/>
      <c r="C707" s="189"/>
      <c r="D707" s="1004" t="s">
        <v>1520</v>
      </c>
      <c r="E707" s="1004"/>
      <c r="F707" s="1004"/>
    </row>
    <row r="708" spans="1:7" ht="14.25" customHeight="1">
      <c r="A708" s="189"/>
      <c r="B708" s="189"/>
      <c r="C708" s="189"/>
    </row>
    <row r="709" spans="1:7" ht="14.25">
      <c r="A709" s="269"/>
      <c r="B709" s="606" t="s">
        <v>79</v>
      </c>
      <c r="C709" s="189"/>
      <c r="D709" s="1004" t="s">
        <v>1116</v>
      </c>
      <c r="E709" s="1004"/>
      <c r="F709" s="1004"/>
    </row>
    <row r="710" spans="1:7" ht="12.75">
      <c r="A710" s="189"/>
      <c r="B710" s="189"/>
      <c r="C710" s="189"/>
      <c r="D710" s="1004" t="s">
        <v>1133</v>
      </c>
      <c r="E710" s="1004"/>
      <c r="F710" s="1004"/>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79</v>
      </c>
      <c r="C714" s="189"/>
      <c r="D714" s="985" t="s">
        <v>2134</v>
      </c>
      <c r="E714" s="985"/>
      <c r="F714" s="985"/>
    </row>
    <row r="715" spans="1:7" ht="12.75">
      <c r="A715" s="18"/>
      <c r="B715" s="18"/>
      <c r="C715" s="189"/>
      <c r="D715" s="985"/>
      <c r="E715" s="985"/>
      <c r="F715" s="985"/>
    </row>
    <row r="716" spans="1:7" ht="12.75">
      <c r="A716" s="189"/>
      <c r="B716" s="189"/>
      <c r="C716" s="189"/>
      <c r="D716" s="985"/>
      <c r="E716" s="985"/>
      <c r="F716" s="985"/>
    </row>
    <row r="717" spans="1:7" ht="12.75">
      <c r="A717" s="189"/>
      <c r="B717" s="189"/>
      <c r="C717" s="189"/>
    </row>
    <row r="718" spans="1:7" ht="14.25">
      <c r="A718" s="269"/>
      <c r="B718" s="606" t="s">
        <v>79</v>
      </c>
      <c r="C718" s="189"/>
      <c r="D718" s="1004" t="s">
        <v>1174</v>
      </c>
      <c r="E718" s="1004"/>
      <c r="F718" s="1004"/>
    </row>
    <row r="719" spans="1:7" ht="14.25">
      <c r="A719" s="269"/>
      <c r="B719" s="269"/>
      <c r="C719" s="189"/>
      <c r="D719" s="1004" t="s">
        <v>1133</v>
      </c>
      <c r="E719" s="1004"/>
      <c r="F719" s="1004"/>
    </row>
    <row r="720" spans="1:7" ht="12.75">
      <c r="A720" s="189"/>
      <c r="B720" s="189"/>
      <c r="C720" s="189"/>
      <c r="E720" s="1029" t="s">
        <v>2077</v>
      </c>
      <c r="F720" s="1029"/>
    </row>
    <row r="721" spans="1:6" ht="12.75">
      <c r="A721" s="189"/>
      <c r="B721" s="189"/>
      <c r="C721" s="189"/>
      <c r="D721" s="3"/>
    </row>
    <row r="722" spans="1:6" ht="14.25">
      <c r="A722" s="269"/>
      <c r="B722" s="606" t="s">
        <v>79</v>
      </c>
      <c r="C722" s="189"/>
      <c r="D722" s="985" t="s">
        <v>1522</v>
      </c>
      <c r="E722" s="985"/>
      <c r="F722" s="985"/>
    </row>
    <row r="723" spans="1:6" ht="12.75">
      <c r="A723" s="189"/>
      <c r="B723" s="189"/>
      <c r="C723" s="189"/>
      <c r="D723" s="985"/>
      <c r="E723" s="985"/>
      <c r="F723" s="985"/>
    </row>
    <row r="724" spans="1:6" ht="12.75">
      <c r="A724" s="189"/>
      <c r="B724" s="189"/>
      <c r="C724" s="189"/>
      <c r="D724" s="985"/>
      <c r="E724" s="985"/>
      <c r="F724" s="985"/>
    </row>
    <row r="725" spans="1:6" ht="12.75">
      <c r="A725" s="189"/>
      <c r="B725" s="189"/>
      <c r="C725" s="189"/>
      <c r="D725" s="985"/>
      <c r="E725" s="985"/>
      <c r="F725" s="985"/>
    </row>
    <row r="726" spans="1:6" ht="12.75">
      <c r="A726" s="189"/>
      <c r="B726" s="189"/>
      <c r="C726" s="189"/>
      <c r="D726" s="985"/>
      <c r="E726" s="985"/>
      <c r="F726" s="985"/>
    </row>
    <row r="727" spans="1:6" ht="12.75">
      <c r="A727" s="189"/>
      <c r="B727" s="189"/>
      <c r="C727" s="189"/>
      <c r="D727" s="985"/>
      <c r="E727" s="985"/>
      <c r="F727" s="985"/>
    </row>
    <row r="728" spans="1:6" ht="12.75">
      <c r="A728" s="189"/>
      <c r="B728" s="189"/>
      <c r="C728" s="189"/>
      <c r="D728" s="985"/>
      <c r="E728" s="985"/>
      <c r="F728" s="985"/>
    </row>
    <row r="729" spans="1:6" ht="12.75">
      <c r="A729" s="189"/>
      <c r="B729" s="606" t="s">
        <v>79</v>
      </c>
      <c r="C729" s="189"/>
      <c r="D729" s="977" t="s">
        <v>1724</v>
      </c>
      <c r="E729" s="985"/>
      <c r="F729" s="985"/>
    </row>
    <row r="730" spans="1:6" ht="12.75">
      <c r="A730" s="189"/>
      <c r="B730" s="189"/>
      <c r="C730" s="189"/>
      <c r="D730" s="985"/>
      <c r="E730" s="985"/>
      <c r="F730" s="985"/>
    </row>
    <row r="731" spans="1:6" ht="12.75">
      <c r="A731" s="189"/>
      <c r="B731" s="189"/>
      <c r="C731" s="189"/>
    </row>
    <row r="732" spans="1:6" ht="14.45" customHeight="1">
      <c r="A732" s="269"/>
      <c r="B732" s="606" t="s">
        <v>79</v>
      </c>
      <c r="C732" s="189"/>
      <c r="D732" s="985" t="s">
        <v>1523</v>
      </c>
      <c r="E732" s="985"/>
      <c r="F732" s="985"/>
    </row>
    <row r="733" spans="1:6" ht="12.75">
      <c r="A733" s="189"/>
      <c r="B733" s="189"/>
      <c r="C733" s="189"/>
      <c r="D733" s="985"/>
      <c r="E733" s="985"/>
      <c r="F733" s="985"/>
    </row>
    <row r="734" spans="1:6" ht="12.75">
      <c r="A734" s="189"/>
      <c r="B734" s="189"/>
      <c r="C734" s="189"/>
      <c r="D734" s="985"/>
      <c r="E734" s="985"/>
      <c r="F734" s="985"/>
    </row>
    <row r="735" spans="1:6" ht="12.75">
      <c r="A735" s="189"/>
      <c r="B735" s="189"/>
      <c r="C735" s="189"/>
      <c r="D735" s="985"/>
      <c r="E735" s="985"/>
      <c r="F735" s="985"/>
    </row>
    <row r="736" spans="1:6" ht="12.75">
      <c r="A736" s="189"/>
      <c r="B736" s="189"/>
      <c r="C736" s="189"/>
      <c r="D736" s="985"/>
      <c r="E736" s="985"/>
      <c r="F736" s="985"/>
    </row>
    <row r="737" spans="1:9" ht="12.75">
      <c r="A737" s="189"/>
      <c r="B737" s="189"/>
      <c r="C737" s="189"/>
      <c r="D737" s="985"/>
      <c r="E737" s="985"/>
      <c r="F737" s="985"/>
    </row>
    <row r="738" spans="1:9" ht="12.75">
      <c r="A738" s="189"/>
      <c r="B738" s="189"/>
      <c r="C738" s="189"/>
      <c r="D738" s="985"/>
      <c r="E738" s="985"/>
      <c r="F738" s="985"/>
    </row>
    <row r="739" spans="1:9" ht="12.75">
      <c r="A739" s="189"/>
      <c r="B739" s="189"/>
      <c r="C739" s="189"/>
      <c r="D739" s="985"/>
      <c r="E739" s="985"/>
      <c r="F739" s="985"/>
    </row>
    <row r="740" spans="1:9" ht="12.75">
      <c r="A740" s="189"/>
      <c r="B740" s="189"/>
      <c r="C740" s="189"/>
      <c r="D740" s="985"/>
      <c r="E740" s="985"/>
      <c r="F740" s="985"/>
    </row>
    <row r="741" spans="1:9" ht="12.75">
      <c r="A741" s="189"/>
      <c r="B741" s="189"/>
      <c r="C741" s="189"/>
      <c r="D741" s="985"/>
      <c r="E741" s="985"/>
      <c r="F741" s="985"/>
    </row>
    <row r="742" spans="1:9" ht="12.75">
      <c r="A742" s="189"/>
      <c r="B742" s="189"/>
      <c r="C742" s="189"/>
      <c r="D742" s="985"/>
      <c r="E742" s="985"/>
      <c r="F742" s="985"/>
    </row>
    <row r="743" spans="1:9" ht="12.75">
      <c r="A743" s="189"/>
      <c r="B743" s="189"/>
      <c r="C743" s="189"/>
      <c r="D743" s="985"/>
      <c r="E743" s="985"/>
      <c r="F743" s="985"/>
    </row>
    <row r="744" spans="1:9" ht="12.75">
      <c r="A744" s="189"/>
      <c r="B744" s="189"/>
      <c r="C744" s="189"/>
      <c r="D744" s="985"/>
      <c r="E744" s="985"/>
      <c r="F744" s="985"/>
    </row>
    <row r="745" spans="1:9" ht="12.75">
      <c r="A745" s="189"/>
      <c r="B745" s="606" t="s">
        <v>79</v>
      </c>
      <c r="C745" s="189"/>
      <c r="D745" s="985" t="s">
        <v>1527</v>
      </c>
      <c r="E745" s="985"/>
      <c r="F745" s="985"/>
      <c r="H745" s="265"/>
      <c r="I745" s="265"/>
    </row>
    <row r="746" spans="1:9" ht="12.75">
      <c r="A746" s="189"/>
      <c r="B746" s="189"/>
      <c r="C746" s="189"/>
      <c r="D746" s="985"/>
      <c r="E746" s="985"/>
      <c r="F746" s="985"/>
      <c r="H746" s="265"/>
      <c r="I746" s="265"/>
    </row>
    <row r="747" spans="1:9" ht="12.75">
      <c r="A747" s="189"/>
      <c r="B747" s="189"/>
      <c r="C747" s="189"/>
      <c r="D747" s="24"/>
      <c r="E747" s="24"/>
      <c r="F747" s="24"/>
      <c r="H747" s="265"/>
      <c r="I747" s="265"/>
    </row>
    <row r="748" spans="1:9" ht="12.75">
      <c r="A748" s="189"/>
      <c r="B748" s="606" t="s">
        <v>79</v>
      </c>
      <c r="C748" s="189"/>
      <c r="D748" s="985" t="s">
        <v>1528</v>
      </c>
      <c r="E748" s="985"/>
      <c r="F748" s="985"/>
      <c r="H748" s="265"/>
      <c r="I748" s="265"/>
    </row>
    <row r="749" spans="1:9" ht="12.75">
      <c r="A749" s="189"/>
      <c r="B749" s="189"/>
      <c r="C749" s="189"/>
      <c r="D749" s="985"/>
      <c r="E749" s="985"/>
      <c r="F749" s="985"/>
      <c r="H749" s="265"/>
      <c r="I749" s="265"/>
    </row>
    <row r="750" spans="1:9" ht="12.75">
      <c r="A750" s="189"/>
      <c r="B750" s="189"/>
      <c r="C750" s="189"/>
      <c r="D750" s="985"/>
      <c r="E750" s="985"/>
      <c r="F750" s="985"/>
      <c r="H750" s="265"/>
      <c r="I750" s="265"/>
    </row>
    <row r="751" spans="1:9" ht="12.75">
      <c r="A751" s="189"/>
      <c r="B751" s="189"/>
      <c r="C751" s="189"/>
      <c r="D751" s="24"/>
      <c r="E751" s="24"/>
      <c r="F751" s="24"/>
      <c r="H751" s="265"/>
      <c r="I751" s="265"/>
    </row>
    <row r="752" spans="1:9" ht="14.45" customHeight="1">
      <c r="A752" s="269"/>
      <c r="B752" s="606" t="s">
        <v>79</v>
      </c>
      <c r="C752" s="189"/>
      <c r="D752" s="977" t="s">
        <v>1911</v>
      </c>
      <c r="E752" s="985"/>
      <c r="F752" s="985"/>
    </row>
    <row r="753" spans="1:9" ht="12.75">
      <c r="A753" s="189"/>
      <c r="B753" s="189"/>
      <c r="C753" s="189"/>
      <c r="D753" s="985"/>
      <c r="E753" s="985"/>
      <c r="F753" s="985"/>
    </row>
    <row r="754" spans="1:9" ht="12.75">
      <c r="A754" s="189"/>
      <c r="B754" s="189"/>
      <c r="C754" s="189"/>
      <c r="D754" s="985"/>
      <c r="E754" s="985"/>
      <c r="F754" s="985"/>
    </row>
    <row r="755" spans="1:9" ht="12.75">
      <c r="A755" s="189"/>
      <c r="B755" s="189"/>
      <c r="C755" s="189"/>
    </row>
    <row r="756" spans="1:9" ht="14.45" customHeight="1">
      <c r="A756" s="269"/>
      <c r="B756" s="606" t="s">
        <v>79</v>
      </c>
      <c r="C756" s="189"/>
      <c r="D756" s="985" t="s">
        <v>1524</v>
      </c>
      <c r="E756" s="985"/>
      <c r="F756" s="985"/>
    </row>
    <row r="757" spans="1:9" ht="12.75">
      <c r="A757" s="189"/>
      <c r="B757" s="189"/>
      <c r="C757" s="189"/>
      <c r="D757" s="985"/>
      <c r="E757" s="985"/>
      <c r="F757" s="985"/>
    </row>
    <row r="758" spans="1:9" ht="12.75">
      <c r="A758" s="189"/>
      <c r="B758" s="189"/>
      <c r="C758" s="189"/>
      <c r="D758" s="985"/>
      <c r="E758" s="985"/>
      <c r="F758" s="985"/>
    </row>
    <row r="759" spans="1:9" ht="12.75">
      <c r="A759" s="189"/>
      <c r="B759" s="189"/>
      <c r="C759" s="189"/>
      <c r="D759" s="210"/>
      <c r="H759" s="265"/>
      <c r="I759" s="265"/>
    </row>
    <row r="760" spans="1:9" ht="14.25">
      <c r="A760" s="269"/>
      <c r="B760" s="606" t="s">
        <v>79</v>
      </c>
      <c r="C760" s="189"/>
      <c r="D760" s="985" t="s">
        <v>1526</v>
      </c>
      <c r="E760" s="985"/>
      <c r="F760" s="985"/>
    </row>
    <row r="761" spans="1:9" ht="12.75">
      <c r="A761" s="189"/>
      <c r="B761" s="189"/>
      <c r="C761" s="189"/>
      <c r="D761" s="985"/>
      <c r="E761" s="985"/>
      <c r="F761" s="985"/>
    </row>
    <row r="762" spans="1:9" ht="12.75">
      <c r="A762" s="189"/>
      <c r="B762" s="189"/>
      <c r="C762" s="189"/>
      <c r="D762" s="985"/>
      <c r="E762" s="985"/>
      <c r="F762" s="985"/>
    </row>
    <row r="763" spans="1:9" ht="12.75">
      <c r="A763" s="189"/>
      <c r="B763" s="189"/>
      <c r="C763" s="189"/>
      <c r="D763" s="985"/>
      <c r="E763" s="985"/>
      <c r="F763" s="985"/>
    </row>
    <row r="764" spans="1:9" ht="12.75">
      <c r="A764" s="189"/>
      <c r="B764" s="189"/>
      <c r="C764" s="189"/>
      <c r="D764" s="24"/>
      <c r="E764" s="24"/>
      <c r="F764" s="24"/>
    </row>
    <row r="765" spans="1:9" ht="14.25">
      <c r="A765" s="269"/>
      <c r="B765" s="606" t="s">
        <v>79</v>
      </c>
      <c r="C765" s="189"/>
      <c r="D765" s="977" t="s">
        <v>2199</v>
      </c>
      <c r="E765" s="985"/>
      <c r="F765" s="985"/>
      <c r="H765" s="265"/>
      <c r="I765" s="265"/>
    </row>
    <row r="766" spans="1:9" ht="12.75">
      <c r="A766" s="189"/>
      <c r="B766" s="189"/>
      <c r="C766" s="189"/>
      <c r="D766" s="985"/>
      <c r="E766" s="985"/>
      <c r="F766" s="985"/>
      <c r="H766" s="265"/>
      <c r="I766" s="265"/>
    </row>
    <row r="767" spans="1:9" ht="12.75">
      <c r="A767" s="189"/>
      <c r="B767" s="189"/>
      <c r="C767" s="189"/>
      <c r="D767" s="985"/>
      <c r="E767" s="985"/>
      <c r="F767" s="985"/>
      <c r="H767" s="265"/>
      <c r="I767" s="265"/>
    </row>
    <row r="768" spans="1:9" ht="12.75">
      <c r="A768" s="189"/>
      <c r="B768" s="189"/>
      <c r="C768" s="189"/>
      <c r="D768" s="985"/>
      <c r="E768" s="985"/>
      <c r="F768" s="985"/>
      <c r="H768" s="265"/>
      <c r="I768" s="265"/>
    </row>
    <row r="769" spans="1:9" ht="12.75">
      <c r="A769" s="189"/>
      <c r="B769" s="189"/>
      <c r="C769" s="189"/>
      <c r="D769" s="985"/>
      <c r="E769" s="985"/>
      <c r="F769" s="985"/>
      <c r="H769" s="265"/>
      <c r="I769" s="265"/>
    </row>
    <row r="770" spans="1:9" ht="12.75">
      <c r="A770" s="189"/>
      <c r="B770" s="189"/>
      <c r="C770" s="189"/>
      <c r="D770" s="985"/>
      <c r="E770" s="985"/>
      <c r="F770" s="985"/>
      <c r="H770" s="265"/>
      <c r="I770" s="265"/>
    </row>
    <row r="771" spans="1:9" ht="12.75">
      <c r="A771" s="189"/>
      <c r="B771" s="189"/>
      <c r="C771" s="189"/>
      <c r="D771" s="985"/>
      <c r="E771" s="985"/>
      <c r="F771" s="985"/>
      <c r="H771" s="265"/>
      <c r="I771" s="265"/>
    </row>
    <row r="772" spans="1:9" ht="12.75">
      <c r="A772" s="189"/>
      <c r="B772" s="189"/>
      <c r="C772" s="189"/>
      <c r="D772" s="1028" t="s">
        <v>1525</v>
      </c>
      <c r="E772" s="1028"/>
      <c r="F772" s="1028"/>
      <c r="H772" s="265"/>
      <c r="I772" s="265"/>
    </row>
    <row r="773" spans="1:9" ht="12.75">
      <c r="A773" s="189"/>
      <c r="B773" s="189"/>
      <c r="C773" s="189"/>
      <c r="D773" s="557"/>
      <c r="H773" s="265"/>
      <c r="I773" s="265"/>
    </row>
    <row r="774" spans="1:9" ht="12.75">
      <c r="A774" s="1016" t="s">
        <v>1427</v>
      </c>
      <c r="B774" s="1016"/>
      <c r="C774" s="1016"/>
      <c r="D774" s="1016"/>
      <c r="E774" s="1016"/>
      <c r="F774" s="1016"/>
      <c r="G774" s="1016"/>
      <c r="H774" s="265"/>
      <c r="I774" s="265"/>
    </row>
    <row r="775" spans="1:9" ht="12.75">
      <c r="A775" s="189"/>
      <c r="B775" s="189"/>
      <c r="C775" s="189"/>
      <c r="D775" s="210"/>
      <c r="H775" s="265"/>
      <c r="I775" s="265"/>
    </row>
    <row r="776" spans="1:9" ht="12.75">
      <c r="C776" s="189"/>
      <c r="D776" s="1011" t="s">
        <v>1446</v>
      </c>
      <c r="E776" s="1011"/>
      <c r="F776" s="1011"/>
      <c r="H776" s="265"/>
      <c r="I776" s="265"/>
    </row>
    <row r="777" spans="1:9" ht="12.75">
      <c r="A777" s="188"/>
      <c r="B777" s="188"/>
      <c r="C777" s="188"/>
      <c r="D777" s="1014" t="s">
        <v>1449</v>
      </c>
      <c r="E777" s="1014"/>
      <c r="F777" s="1014"/>
      <c r="H777" s="265"/>
      <c r="I777" s="265"/>
    </row>
    <row r="778" spans="1:9" ht="12.75">
      <c r="A778" s="189"/>
      <c r="B778" s="189"/>
      <c r="C778" s="189"/>
      <c r="H778" s="265"/>
      <c r="I778" s="265"/>
    </row>
    <row r="779" spans="1:9" ht="14.25" customHeight="1">
      <c r="A779" s="269"/>
      <c r="B779" s="606" t="s">
        <v>79</v>
      </c>
      <c r="D779" s="985" t="s">
        <v>1447</v>
      </c>
      <c r="E779" s="985"/>
      <c r="F779" s="985"/>
      <c r="H779" s="265"/>
      <c r="I779" s="265"/>
    </row>
    <row r="780" spans="1:9" ht="11.25" customHeight="1">
      <c r="D780" s="985"/>
      <c r="E780" s="985"/>
      <c r="F780" s="985"/>
      <c r="H780" s="265"/>
      <c r="I780" s="265"/>
    </row>
    <row r="781" spans="1:9" ht="12.75">
      <c r="D781" s="985"/>
      <c r="E781" s="985"/>
      <c r="F781" s="985"/>
      <c r="H781" s="265"/>
      <c r="I781" s="265"/>
    </row>
    <row r="782" spans="1:9" ht="12.75">
      <c r="D782" s="985"/>
      <c r="E782" s="985"/>
      <c r="F782" s="985"/>
      <c r="H782" s="265"/>
      <c r="I782" s="265"/>
    </row>
    <row r="783" spans="1:9" ht="12.75">
      <c r="D783" s="985"/>
      <c r="E783" s="985"/>
      <c r="F783" s="985"/>
      <c r="H783" s="265"/>
      <c r="I783" s="265"/>
    </row>
    <row r="784" spans="1:9" ht="17.25" customHeight="1">
      <c r="D784" s="985"/>
      <c r="E784" s="985"/>
      <c r="F784" s="985"/>
      <c r="H784" s="265"/>
      <c r="I784" s="265"/>
    </row>
    <row r="785" spans="1:9" ht="12.75">
      <c r="D785" s="44"/>
      <c r="E785" s="44"/>
      <c r="F785" s="44"/>
      <c r="H785" s="265"/>
      <c r="I785" s="265"/>
    </row>
    <row r="786" spans="1:9" ht="12.75" customHeight="1">
      <c r="B786" s="606" t="s">
        <v>79</v>
      </c>
      <c r="D786" s="1025" t="s">
        <v>1852</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79</v>
      </c>
      <c r="C791" s="430"/>
      <c r="D791" s="1027" t="s">
        <v>1853</v>
      </c>
      <c r="E791" s="1002"/>
      <c r="F791" s="1002"/>
      <c r="G791" s="369"/>
      <c r="H791" s="265"/>
      <c r="I791" s="265"/>
    </row>
    <row r="792" spans="1:9" ht="12.75">
      <c r="A792" s="430"/>
      <c r="B792" s="430"/>
      <c r="C792" s="430"/>
      <c r="D792" s="1002"/>
      <c r="E792" s="1002"/>
      <c r="F792" s="1002"/>
      <c r="G792" s="369"/>
      <c r="H792" s="265"/>
      <c r="I792" s="265"/>
    </row>
    <row r="793" spans="1:9" ht="12.75">
      <c r="A793" s="430"/>
      <c r="B793" s="430"/>
      <c r="C793" s="430"/>
      <c r="D793" s="1002"/>
      <c r="E793" s="1002"/>
      <c r="F793" s="1002"/>
      <c r="G793" s="369"/>
      <c r="H793" s="265"/>
      <c r="I793" s="265"/>
    </row>
    <row r="794" spans="1:9" ht="12.75">
      <c r="D794" s="44"/>
      <c r="E794" s="44"/>
      <c r="F794" s="44"/>
      <c r="H794" s="265"/>
      <c r="I794" s="265"/>
    </row>
    <row r="795" spans="1:9" ht="12.75">
      <c r="B795" s="606" t="s">
        <v>79</v>
      </c>
      <c r="D795" s="985" t="s">
        <v>1448</v>
      </c>
      <c r="E795" s="985"/>
      <c r="F795" s="985"/>
      <c r="H795" s="265"/>
      <c r="I795" s="265"/>
    </row>
    <row r="796" spans="1:9" ht="12.75">
      <c r="D796" s="985"/>
      <c r="E796" s="985"/>
      <c r="F796" s="985"/>
      <c r="H796" s="265"/>
      <c r="I796" s="265"/>
    </row>
    <row r="797" spans="1:9" ht="12.75">
      <c r="D797" s="24"/>
      <c r="E797" s="24"/>
      <c r="F797" s="24"/>
      <c r="H797" s="265"/>
      <c r="I797" s="265"/>
    </row>
    <row r="798" spans="1:9" ht="13.7" customHeight="1">
      <c r="B798" s="606" t="s">
        <v>79</v>
      </c>
      <c r="D798" s="977" t="s">
        <v>1746</v>
      </c>
      <c r="E798" s="985"/>
      <c r="F798" s="985"/>
      <c r="H798" s="265"/>
      <c r="I798" s="265"/>
    </row>
    <row r="799" spans="1:9" ht="12.75">
      <c r="D799" s="985"/>
      <c r="E799" s="985"/>
      <c r="F799" s="985"/>
      <c r="H799" s="265"/>
      <c r="I799" s="265"/>
    </row>
    <row r="800" spans="1:9" ht="12.75">
      <c r="D800" s="985"/>
      <c r="E800" s="985"/>
      <c r="F800" s="985"/>
      <c r="H800" s="265"/>
      <c r="I800" s="265"/>
    </row>
    <row r="801" spans="1:9" ht="12.75">
      <c r="D801" s="24"/>
      <c r="E801" s="24"/>
      <c r="F801" s="24"/>
      <c r="H801" s="265"/>
      <c r="I801" s="265"/>
    </row>
    <row r="802" spans="1:9" ht="12" customHeight="1">
      <c r="A802" s="1016" t="s">
        <v>1587</v>
      </c>
      <c r="B802" s="1016"/>
      <c r="C802" s="1016"/>
      <c r="D802" s="1016"/>
      <c r="E802" s="1016"/>
      <c r="F802" s="1016"/>
      <c r="G802" s="1016"/>
      <c r="H802" s="265"/>
      <c r="I802" s="265"/>
    </row>
    <row r="803" spans="1:9" ht="12.75">
      <c r="A803" s="63"/>
      <c r="B803" s="63"/>
      <c r="H803" s="265"/>
      <c r="I803" s="265"/>
    </row>
    <row r="804" spans="1:9" ht="13.7" customHeight="1">
      <c r="A804" s="63"/>
      <c r="B804" s="63"/>
      <c r="D804" s="1020" t="s">
        <v>1588</v>
      </c>
      <c r="E804" s="1020"/>
      <c r="F804" s="1020"/>
      <c r="H804" s="265"/>
      <c r="I804" s="265"/>
    </row>
    <row r="805" spans="1:9" ht="12.75">
      <c r="A805" s="63"/>
      <c r="B805" s="63"/>
      <c r="D805" s="1021" t="s">
        <v>1589</v>
      </c>
      <c r="E805" s="1021"/>
      <c r="F805" s="1021"/>
      <c r="H805" s="265"/>
      <c r="I805" s="265"/>
    </row>
    <row r="806" spans="1:9" ht="12.75">
      <c r="A806" s="63"/>
      <c r="B806" s="63"/>
      <c r="D806" s="417"/>
      <c r="E806" s="417"/>
      <c r="F806" s="417"/>
      <c r="H806" s="265"/>
      <c r="I806" s="265"/>
    </row>
    <row r="807" spans="1:9" ht="12.75">
      <c r="A807" s="63"/>
      <c r="B807" s="606" t="s">
        <v>79</v>
      </c>
      <c r="D807" s="1002" t="s">
        <v>1590</v>
      </c>
      <c r="E807" s="1002"/>
      <c r="F807" s="1002"/>
      <c r="H807" s="265"/>
      <c r="I807" s="265"/>
    </row>
    <row r="808" spans="1:9" ht="12.75">
      <c r="A808" s="63"/>
      <c r="B808" s="63"/>
      <c r="D808" s="1002"/>
      <c r="E808" s="1002"/>
      <c r="F808" s="1002"/>
      <c r="H808" s="265"/>
      <c r="I808" s="265"/>
    </row>
    <row r="809" spans="1:9" ht="12.75">
      <c r="A809" s="189"/>
      <c r="B809" s="189"/>
      <c r="C809" s="189"/>
      <c r="D809" s="1002"/>
      <c r="E809" s="1002"/>
      <c r="F809" s="1002"/>
      <c r="G809" s="44"/>
      <c r="H809" s="265"/>
      <c r="I809" s="265"/>
    </row>
    <row r="810" spans="1:9" ht="12.75">
      <c r="D810" s="190"/>
      <c r="H810" s="265"/>
      <c r="I810" s="265"/>
    </row>
    <row r="811" spans="1:9" ht="12.75">
      <c r="A811" s="188"/>
      <c r="B811" s="606" t="s">
        <v>79</v>
      </c>
      <c r="C811" s="188"/>
      <c r="D811" s="1027" t="s">
        <v>2195</v>
      </c>
      <c r="E811" s="1002"/>
      <c r="F811" s="1002"/>
      <c r="H811" s="265"/>
      <c r="I811" s="265"/>
    </row>
    <row r="812" spans="1:9" ht="12.75">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2.75">
      <c r="A814" s="189"/>
      <c r="B814" s="189"/>
      <c r="C814" s="189"/>
      <c r="E814" s="186"/>
      <c r="F814" s="186"/>
      <c r="G814" s="186"/>
      <c r="H814" s="265"/>
      <c r="I814" s="265"/>
    </row>
    <row r="815" spans="1:9" ht="14.45" customHeight="1">
      <c r="A815" s="269"/>
      <c r="B815" s="606" t="s">
        <v>79</v>
      </c>
      <c r="C815" s="205"/>
      <c r="D815" s="1027" t="s">
        <v>1691</v>
      </c>
      <c r="E815" s="1027"/>
      <c r="F815" s="1027"/>
      <c r="G815" s="186"/>
      <c r="H815" s="265"/>
      <c r="I815" s="265"/>
    </row>
    <row r="816" spans="1:9" ht="14.25">
      <c r="A816" s="269"/>
      <c r="B816" s="269"/>
      <c r="C816" s="205"/>
      <c r="D816" s="1027"/>
      <c r="E816" s="1027"/>
      <c r="F816" s="1027"/>
      <c r="G816" s="186"/>
      <c r="H816" s="265"/>
      <c r="I816" s="265"/>
    </row>
    <row r="817" spans="1:9" ht="14.25">
      <c r="A817" s="269"/>
      <c r="B817" s="269"/>
      <c r="C817" s="205"/>
      <c r="D817" s="1027"/>
      <c r="E817" s="1027"/>
      <c r="F817" s="1027"/>
      <c r="G817" s="186"/>
      <c r="H817" s="265"/>
      <c r="I817" s="265"/>
    </row>
    <row r="818" spans="1:9" ht="14.25">
      <c r="A818" s="269"/>
      <c r="B818" s="269"/>
      <c r="C818" s="205"/>
      <c r="D818" s="44"/>
      <c r="G818" s="186"/>
      <c r="H818" s="265"/>
      <c r="I818" s="265"/>
    </row>
    <row r="819" spans="1:9" ht="14.25" customHeight="1">
      <c r="A819" s="269"/>
      <c r="B819" s="606" t="s">
        <v>79</v>
      </c>
      <c r="C819" s="205"/>
      <c r="D819" s="1002" t="s">
        <v>1591</v>
      </c>
      <c r="E819" s="1002"/>
      <c r="F819" s="1002"/>
      <c r="G819" s="186"/>
      <c r="H819" s="265"/>
      <c r="I819" s="265"/>
    </row>
    <row r="820" spans="1:9" ht="14.25">
      <c r="A820" s="269"/>
      <c r="B820" s="269"/>
      <c r="C820" s="205"/>
      <c r="D820" s="1002"/>
      <c r="E820" s="1002"/>
      <c r="F820" s="1002"/>
      <c r="G820" s="186"/>
      <c r="H820" s="265"/>
      <c r="I820" s="265"/>
    </row>
    <row r="821" spans="1:9" ht="14.25">
      <c r="A821" s="269"/>
      <c r="B821" s="269"/>
      <c r="C821" s="205"/>
      <c r="D821" s="1002"/>
      <c r="E821" s="1002"/>
      <c r="F821" s="1002"/>
      <c r="G821" s="186"/>
      <c r="H821" s="265"/>
      <c r="I821" s="265"/>
    </row>
    <row r="822" spans="1:9" ht="14.25">
      <c r="A822" s="269"/>
      <c r="B822" s="269"/>
      <c r="C822" s="205"/>
      <c r="D822" s="1002"/>
      <c r="E822" s="1002"/>
      <c r="F822" s="1002"/>
      <c r="G822" s="186"/>
      <c r="H822" s="265"/>
      <c r="I822" s="265"/>
    </row>
    <row r="823" spans="1:9" ht="14.25">
      <c r="A823" s="269"/>
      <c r="B823" s="269"/>
      <c r="C823" s="205"/>
      <c r="D823" s="1002"/>
      <c r="E823" s="1002"/>
      <c r="F823" s="1002"/>
      <c r="G823" s="186"/>
      <c r="H823" s="265"/>
      <c r="I823" s="265"/>
    </row>
    <row r="824" spans="1:9" ht="14.25">
      <c r="A824" s="269"/>
      <c r="B824" s="269"/>
      <c r="C824" s="205"/>
      <c r="D824" s="1027" t="s">
        <v>1997</v>
      </c>
      <c r="E824" s="1027"/>
      <c r="F824" s="1027"/>
      <c r="G824" s="186"/>
      <c r="H824" s="265"/>
      <c r="I824" s="265"/>
    </row>
    <row r="825" spans="1:9" ht="14.25">
      <c r="A825" s="269"/>
      <c r="B825" s="269"/>
      <c r="C825" s="205"/>
      <c r="D825" s="1027"/>
      <c r="E825" s="1027"/>
      <c r="F825" s="1027"/>
      <c r="G825" s="186"/>
      <c r="H825" s="265"/>
      <c r="I825" s="265"/>
    </row>
    <row r="826" spans="1:9" ht="14.25">
      <c r="A826" s="269"/>
      <c r="B826" s="269"/>
      <c r="C826" s="205"/>
      <c r="D826" s="1027"/>
      <c r="E826" s="1027"/>
      <c r="F826" s="1027"/>
      <c r="G826" s="186"/>
      <c r="H826" s="265"/>
      <c r="I826" s="265"/>
    </row>
    <row r="827" spans="1:9" ht="14.25">
      <c r="A827" s="269"/>
      <c r="C827" s="205"/>
      <c r="D827" s="790"/>
      <c r="E827" s="790"/>
      <c r="F827" s="790"/>
      <c r="G827" s="186"/>
      <c r="H827" s="265"/>
      <c r="I827" s="265"/>
    </row>
    <row r="828" spans="1:9" ht="14.25">
      <c r="A828" s="269"/>
      <c r="B828" s="606" t="s">
        <v>79</v>
      </c>
      <c r="C828" s="205"/>
      <c r="D828" s="1002" t="s">
        <v>1593</v>
      </c>
      <c r="E828" s="1002"/>
      <c r="F828" s="1002"/>
      <c r="G828" s="186"/>
      <c r="H828" s="265"/>
      <c r="I828" s="265"/>
    </row>
    <row r="829" spans="1:9" ht="14.25">
      <c r="A829" s="269"/>
      <c r="B829" s="269"/>
      <c r="C829" s="205"/>
      <c r="D829" s="1002"/>
      <c r="E829" s="1002"/>
      <c r="F829" s="1002"/>
      <c r="G829" s="186"/>
      <c r="H829" s="265"/>
      <c r="I829" s="265"/>
    </row>
    <row r="830" spans="1:9" ht="14.25">
      <c r="A830" s="269"/>
      <c r="B830" s="269"/>
      <c r="C830" s="205"/>
      <c r="D830" s="1002"/>
      <c r="E830" s="1002"/>
      <c r="F830" s="1002"/>
      <c r="G830" s="186"/>
      <c r="H830" s="265"/>
      <c r="I830" s="265"/>
    </row>
    <row r="831" spans="1:9" ht="14.25">
      <c r="A831" s="269"/>
      <c r="B831" s="269"/>
      <c r="C831" s="205"/>
      <c r="D831" s="1002"/>
      <c r="E831" s="1002"/>
      <c r="F831" s="1002"/>
      <c r="G831" s="186"/>
      <c r="H831" s="265"/>
      <c r="I831" s="265"/>
    </row>
    <row r="832" spans="1:9" ht="14.25">
      <c r="A832" s="269"/>
      <c r="B832" s="269"/>
      <c r="C832" s="205"/>
      <c r="D832" s="1002"/>
      <c r="E832" s="1002"/>
      <c r="F832" s="1002"/>
      <c r="G832" s="186"/>
      <c r="H832" s="265"/>
      <c r="I832" s="265"/>
    </row>
    <row r="833" spans="1:9" ht="14.25">
      <c r="A833" s="269"/>
      <c r="B833" s="269"/>
      <c r="C833" s="205"/>
      <c r="D833" s="1002"/>
      <c r="E833" s="1002"/>
      <c r="F833" s="1002"/>
      <c r="G833" s="186"/>
      <c r="H833" s="265"/>
      <c r="I833" s="265"/>
    </row>
    <row r="834" spans="1:9" ht="14.25">
      <c r="A834" s="269"/>
      <c r="B834" s="269"/>
      <c r="C834" s="205"/>
      <c r="D834" s="651"/>
      <c r="E834" s="651"/>
      <c r="F834" s="651"/>
      <c r="G834" s="186"/>
      <c r="H834" s="265"/>
      <c r="I834" s="265"/>
    </row>
    <row r="835" spans="1:9" ht="14.25">
      <c r="A835" s="269"/>
      <c r="B835" s="606" t="s">
        <v>79</v>
      </c>
      <c r="C835" s="205"/>
      <c r="D835" s="1027" t="s">
        <v>1854</v>
      </c>
      <c r="E835" s="1002"/>
      <c r="F835" s="1002"/>
      <c r="G835" s="186"/>
      <c r="H835" s="265"/>
      <c r="I835" s="265"/>
    </row>
    <row r="836" spans="1:9" ht="14.25">
      <c r="A836" s="269"/>
      <c r="B836" s="269"/>
      <c r="C836" s="205"/>
      <c r="D836" s="1002"/>
      <c r="E836" s="1002"/>
      <c r="F836" s="1002"/>
      <c r="G836" s="186"/>
      <c r="H836" s="265"/>
      <c r="I836" s="265"/>
    </row>
    <row r="837" spans="1:9" ht="14.25">
      <c r="A837" s="269"/>
      <c r="B837" s="269"/>
      <c r="C837" s="205"/>
      <c r="D837" s="1002"/>
      <c r="E837" s="1002"/>
      <c r="F837" s="1002"/>
      <c r="G837" s="186"/>
      <c r="H837" s="265"/>
      <c r="I837" s="265"/>
    </row>
    <row r="838" spans="1:9" ht="14.25">
      <c r="A838" s="269"/>
      <c r="B838" s="269"/>
      <c r="C838" s="205"/>
      <c r="D838" s="1002"/>
      <c r="E838" s="1002"/>
      <c r="F838" s="1002"/>
      <c r="G838" s="186"/>
      <c r="H838" s="265"/>
      <c r="I838" s="265"/>
    </row>
    <row r="839" spans="1:9" ht="14.25">
      <c r="A839" s="269"/>
      <c r="B839" s="269"/>
      <c r="C839" s="205"/>
      <c r="D839" s="1002"/>
      <c r="E839" s="1002"/>
      <c r="F839" s="1002"/>
      <c r="G839" s="186"/>
      <c r="H839" s="265"/>
      <c r="I839" s="265"/>
    </row>
    <row r="840" spans="1:9" ht="14.25">
      <c r="A840" s="269"/>
      <c r="B840" s="269"/>
      <c r="C840" s="205"/>
      <c r="D840" s="651"/>
      <c r="E840" s="651"/>
      <c r="F840" s="651"/>
      <c r="G840" s="186"/>
      <c r="H840" s="265"/>
      <c r="I840" s="265"/>
    </row>
    <row r="841" spans="1:9" ht="14.25">
      <c r="A841" s="269"/>
      <c r="B841" s="606" t="s">
        <v>79</v>
      </c>
      <c r="C841" s="205"/>
      <c r="D841" s="1002" t="s">
        <v>1592</v>
      </c>
      <c r="E841" s="1002"/>
      <c r="F841" s="1002"/>
      <c r="G841" s="186"/>
      <c r="H841" s="265"/>
      <c r="I841" s="265"/>
    </row>
    <row r="842" spans="1:9" ht="14.25">
      <c r="A842" s="269"/>
      <c r="B842" s="269"/>
      <c r="C842" s="205"/>
      <c r="D842" s="1002"/>
      <c r="E842" s="1002"/>
      <c r="F842" s="1002"/>
      <c r="G842" s="186"/>
      <c r="H842" s="265"/>
      <c r="I842" s="265"/>
    </row>
    <row r="843" spans="1:9" ht="14.25">
      <c r="A843" s="269"/>
      <c r="B843" s="269"/>
      <c r="C843" s="205"/>
      <c r="D843" s="1002"/>
      <c r="E843" s="1002"/>
      <c r="F843" s="1002"/>
      <c r="G843" s="186"/>
      <c r="H843" s="265"/>
      <c r="I843" s="265"/>
    </row>
    <row r="844" spans="1:9" ht="14.25">
      <c r="A844" s="269"/>
      <c r="B844" s="269"/>
      <c r="C844" s="205"/>
      <c r="D844" s="1002"/>
      <c r="E844" s="1002"/>
      <c r="F844" s="1002"/>
      <c r="G844" s="186"/>
      <c r="H844" s="265"/>
      <c r="I844" s="265"/>
    </row>
    <row r="845" spans="1:9" ht="14.25">
      <c r="A845" s="269"/>
      <c r="B845" s="269"/>
      <c r="C845" s="205"/>
      <c r="D845" s="186"/>
      <c r="G845" s="186"/>
      <c r="H845" s="265"/>
      <c r="I845" s="265"/>
    </row>
    <row r="846" spans="1:9" ht="14.25">
      <c r="A846" s="269"/>
      <c r="B846" s="606" t="s">
        <v>79</v>
      </c>
      <c r="C846" s="205"/>
      <c r="D846" s="1010" t="s">
        <v>1595</v>
      </c>
      <c r="E846" s="1010"/>
      <c r="F846" s="1010"/>
      <c r="G846" s="186"/>
      <c r="H846" s="265"/>
      <c r="I846" s="265"/>
    </row>
    <row r="847" spans="1:9" ht="14.25">
      <c r="A847" s="269"/>
      <c r="B847" s="269"/>
      <c r="C847" s="205"/>
      <c r="D847" s="1010"/>
      <c r="E847" s="1010"/>
      <c r="F847" s="1010"/>
      <c r="G847" s="186"/>
      <c r="H847" s="265"/>
      <c r="I847" s="265"/>
    </row>
    <row r="848" spans="1:9" ht="12.75">
      <c r="A848" s="18"/>
      <c r="B848" s="18"/>
      <c r="C848" s="205"/>
      <c r="D848" s="1010"/>
      <c r="E848" s="1010"/>
      <c r="F848" s="1010"/>
      <c r="G848" s="186"/>
      <c r="H848" s="265"/>
      <c r="I848" s="265"/>
    </row>
    <row r="849" spans="1:9" ht="14.25">
      <c r="A849" s="269"/>
      <c r="B849" s="18"/>
      <c r="C849" s="205"/>
      <c r="D849" s="1010"/>
      <c r="E849" s="1010"/>
      <c r="F849" s="1010"/>
      <c r="G849" s="186"/>
      <c r="H849" s="265"/>
      <c r="I849" s="265"/>
    </row>
    <row r="850" spans="1:9" ht="14.25">
      <c r="A850" s="269"/>
      <c r="B850" s="18"/>
      <c r="C850" s="205"/>
      <c r="D850" s="1010"/>
      <c r="E850" s="1010"/>
      <c r="F850" s="1010"/>
      <c r="G850" s="186"/>
      <c r="H850" s="265"/>
      <c r="I850" s="265"/>
    </row>
    <row r="851" spans="1:9" ht="14.25">
      <c r="A851" s="269"/>
      <c r="B851" s="18"/>
      <c r="C851" s="205"/>
      <c r="D851" s="1010"/>
      <c r="E851" s="1010"/>
      <c r="F851" s="1010"/>
      <c r="G851" s="186"/>
      <c r="H851" s="265"/>
      <c r="I851" s="265"/>
    </row>
    <row r="852" spans="1:9" ht="14.25">
      <c r="A852" s="269"/>
      <c r="B852" s="18"/>
      <c r="C852" s="205"/>
      <c r="D852" s="650"/>
      <c r="E852" s="650"/>
      <c r="F852" s="650"/>
      <c r="G852" s="186"/>
      <c r="H852" s="265"/>
      <c r="I852" s="265"/>
    </row>
    <row r="853" spans="1:9" ht="14.25">
      <c r="A853" s="269"/>
      <c r="B853" s="606" t="s">
        <v>79</v>
      </c>
      <c r="C853" s="205"/>
      <c r="D853" s="1002" t="s">
        <v>1594</v>
      </c>
      <c r="E853" s="1002"/>
      <c r="F853" s="1002"/>
      <c r="G853" s="186"/>
      <c r="H853" s="265"/>
      <c r="I853" s="265"/>
    </row>
    <row r="854" spans="1:9" ht="14.25">
      <c r="A854" s="269"/>
      <c r="B854" s="269"/>
      <c r="C854" s="205"/>
      <c r="D854" s="1002"/>
      <c r="E854" s="1002"/>
      <c r="F854" s="1002"/>
      <c r="G854" s="186"/>
      <c r="H854" s="265"/>
      <c r="I854" s="265"/>
    </row>
    <row r="855" spans="1:9" ht="14.25">
      <c r="A855" s="269"/>
      <c r="B855" s="269"/>
      <c r="C855" s="205"/>
      <c r="D855" s="186"/>
      <c r="G855" s="186"/>
      <c r="H855" s="265"/>
      <c r="I855" s="265"/>
    </row>
    <row r="856" spans="1:9" ht="14.25">
      <c r="A856" s="269"/>
      <c r="B856" s="606" t="s">
        <v>79</v>
      </c>
      <c r="C856" s="205"/>
      <c r="D856" s="1010" t="s">
        <v>1596</v>
      </c>
      <c r="E856" s="1010"/>
      <c r="F856" s="1010"/>
      <c r="G856" s="186"/>
      <c r="H856" s="265"/>
      <c r="I856" s="265"/>
    </row>
    <row r="857" spans="1:9" ht="14.25">
      <c r="A857" s="269"/>
      <c r="B857" s="269"/>
      <c r="C857" s="205"/>
      <c r="D857" s="1010"/>
      <c r="E857" s="1010"/>
      <c r="F857" s="1010"/>
      <c r="G857" s="186"/>
      <c r="H857" s="265"/>
      <c r="I857" s="265"/>
    </row>
    <row r="858" spans="1:9" ht="12.75">
      <c r="A858" s="18"/>
      <c r="B858" s="18"/>
      <c r="C858" s="205"/>
      <c r="D858" s="186"/>
      <c r="G858" s="186"/>
      <c r="H858" s="265"/>
      <c r="I858" s="265"/>
    </row>
    <row r="859" spans="1:9" ht="12.75">
      <c r="A859" s="1038" t="s">
        <v>1871</v>
      </c>
      <c r="B859" s="1038"/>
      <c r="C859" s="1038"/>
      <c r="D859" s="1038"/>
      <c r="E859" s="1038"/>
      <c r="F859" s="1038"/>
      <c r="G859" s="1038"/>
      <c r="H859" s="265"/>
      <c r="I859" s="265"/>
    </row>
    <row r="860" spans="1:9" ht="12.75">
      <c r="A860" s="188"/>
      <c r="B860" s="188"/>
      <c r="C860" s="205"/>
      <c r="D860" s="186"/>
      <c r="E860" s="186"/>
      <c r="F860" s="186"/>
      <c r="G860" s="186"/>
      <c r="H860" s="265"/>
      <c r="I860" s="265"/>
    </row>
    <row r="861" spans="1:9" ht="14.25">
      <c r="A861" s="269"/>
      <c r="B861" s="269"/>
      <c r="D861" s="1011" t="s">
        <v>1515</v>
      </c>
      <c r="E861" s="1011"/>
      <c r="F861" s="1011"/>
      <c r="H861" s="265"/>
      <c r="I861" s="265"/>
    </row>
    <row r="862" spans="1:9" ht="14.25">
      <c r="A862" s="269"/>
      <c r="B862" s="269"/>
      <c r="D862" s="977" t="s">
        <v>1868</v>
      </c>
      <c r="E862" s="977"/>
      <c r="F862" s="977"/>
      <c r="H862" s="265"/>
      <c r="I862" s="265"/>
    </row>
    <row r="863" spans="1:9" ht="14.25">
      <c r="A863" s="269"/>
      <c r="B863" s="269"/>
      <c r="D863" s="24"/>
      <c r="E863" s="208"/>
      <c r="F863" s="208"/>
      <c r="H863" s="265"/>
      <c r="I863" s="265"/>
    </row>
    <row r="864" spans="1:9" ht="12.75">
      <c r="B864" s="606" t="s">
        <v>79</v>
      </c>
      <c r="C864" s="205"/>
      <c r="D864" s="985" t="s">
        <v>1452</v>
      </c>
      <c r="E864" s="985"/>
      <c r="F864" s="985"/>
      <c r="H864" s="265"/>
      <c r="I864" s="265"/>
    </row>
    <row r="865" spans="1:9" ht="12.75">
      <c r="A865" s="18"/>
      <c r="B865" s="18"/>
      <c r="C865" s="205"/>
      <c r="D865" s="3" t="s">
        <v>1430</v>
      </c>
      <c r="E865" s="986" t="s">
        <v>2060</v>
      </c>
      <c r="F865" s="986"/>
      <c r="H865" s="265"/>
      <c r="I865" s="265"/>
    </row>
    <row r="866" spans="1:9" ht="12.75">
      <c r="A866" s="18"/>
      <c r="B866" s="18"/>
      <c r="C866" s="205"/>
      <c r="D866" s="211"/>
      <c r="H866" s="265"/>
      <c r="I866" s="265"/>
    </row>
    <row r="867" spans="1:9" ht="12.75">
      <c r="A867" s="18"/>
      <c r="B867" s="606" t="s">
        <v>79</v>
      </c>
      <c r="C867" s="205"/>
      <c r="D867" s="1030" t="s">
        <v>1672</v>
      </c>
      <c r="E867" s="1030"/>
      <c r="F867" s="1030"/>
      <c r="H867" s="265"/>
      <c r="I867" s="265"/>
    </row>
    <row r="868" spans="1:9" ht="12.75">
      <c r="A868" s="18"/>
      <c r="B868" s="18"/>
      <c r="C868" s="205"/>
      <c r="D868" s="1030"/>
      <c r="E868" s="1030"/>
      <c r="F868" s="1030"/>
      <c r="H868" s="265"/>
      <c r="I868" s="265"/>
    </row>
    <row r="869" spans="1:9" ht="12.75">
      <c r="A869" s="18"/>
      <c r="B869" s="18"/>
      <c r="C869" s="205"/>
      <c r="D869" s="1030"/>
      <c r="E869" s="1030"/>
      <c r="F869" s="1030"/>
      <c r="H869" s="265"/>
      <c r="I869" s="265"/>
    </row>
    <row r="870" spans="1:9" ht="12.75">
      <c r="A870" s="18"/>
      <c r="B870" s="18"/>
      <c r="C870" s="205"/>
      <c r="D870" s="1030"/>
      <c r="E870" s="1030"/>
      <c r="F870" s="1030"/>
      <c r="H870" s="265"/>
      <c r="I870" s="265"/>
    </row>
    <row r="871" spans="1:9" ht="12.75">
      <c r="A871" s="18"/>
      <c r="B871" s="18"/>
      <c r="C871" s="205"/>
      <c r="D871" s="1030"/>
      <c r="E871" s="1030"/>
      <c r="F871" s="1030"/>
      <c r="H871" s="265"/>
      <c r="I871" s="265"/>
    </row>
    <row r="872" spans="1:9" ht="12.75">
      <c r="A872" s="18"/>
      <c r="B872" s="18"/>
      <c r="C872" s="205"/>
      <c r="D872" s="1030"/>
      <c r="E872" s="1030"/>
      <c r="F872" s="1030"/>
      <c r="H872" s="265"/>
      <c r="I872" s="265"/>
    </row>
    <row r="873" spans="1:9" ht="12.75">
      <c r="A873" s="18"/>
      <c r="B873" s="18"/>
      <c r="C873" s="205"/>
      <c r="D873" s="1030"/>
      <c r="E873" s="1030"/>
      <c r="F873" s="1030"/>
      <c r="H873" s="265"/>
      <c r="I873" s="265"/>
    </row>
    <row r="874" spans="1:9" ht="12.75">
      <c r="A874" s="18"/>
      <c r="B874" s="18"/>
      <c r="C874" s="205"/>
      <c r="D874" s="1030"/>
      <c r="E874" s="1030"/>
      <c r="F874" s="1030"/>
      <c r="H874" s="265"/>
      <c r="I874" s="265"/>
    </row>
    <row r="875" spans="1:9" ht="12.75">
      <c r="A875" s="18"/>
      <c r="B875" s="18"/>
      <c r="C875" s="205"/>
      <c r="D875" s="1030"/>
      <c r="E875" s="1030"/>
      <c r="F875" s="1030"/>
      <c r="H875" s="265"/>
      <c r="I875" s="265"/>
    </row>
    <row r="876" spans="1:9" ht="12.75">
      <c r="A876" s="18"/>
      <c r="B876" s="18"/>
      <c r="C876" s="205"/>
      <c r="D876" s="211"/>
      <c r="H876" s="265"/>
      <c r="I876" s="265"/>
    </row>
    <row r="877" spans="1:9" ht="14.25">
      <c r="A877" s="269"/>
      <c r="B877" s="606" t="s">
        <v>79</v>
      </c>
      <c r="C877" s="205"/>
      <c r="D877" s="985" t="s">
        <v>1453</v>
      </c>
      <c r="E877" s="985"/>
      <c r="F877" s="985"/>
      <c r="H877" s="265"/>
      <c r="I877" s="265"/>
    </row>
    <row r="878" spans="1:9" ht="14.25">
      <c r="A878" s="269"/>
      <c r="B878" s="269"/>
      <c r="C878" s="205"/>
      <c r="D878" s="985"/>
      <c r="E878" s="985"/>
      <c r="F878" s="985"/>
      <c r="H878" s="265"/>
      <c r="I878" s="265"/>
    </row>
    <row r="879" spans="1:9" ht="14.25">
      <c r="A879" s="269"/>
      <c r="B879" s="269"/>
      <c r="C879" s="205"/>
      <c r="D879" s="985"/>
      <c r="E879" s="985"/>
      <c r="F879" s="985"/>
      <c r="H879" s="265"/>
      <c r="I879" s="265"/>
    </row>
    <row r="880" spans="1:9" ht="14.25">
      <c r="A880" s="269"/>
      <c r="B880" s="269"/>
      <c r="C880" s="205"/>
      <c r="D880" s="44"/>
      <c r="H880" s="265"/>
      <c r="I880" s="265"/>
    </row>
    <row r="881" spans="1:9" ht="12.75">
      <c r="A881" s="416"/>
      <c r="B881" s="606" t="s">
        <v>79</v>
      </c>
      <c r="C881" s="205"/>
      <c r="D881" s="1011" t="s">
        <v>1454</v>
      </c>
      <c r="E881" s="1011"/>
      <c r="F881" s="1011"/>
      <c r="H881" s="265"/>
      <c r="I881" s="265"/>
    </row>
    <row r="882" spans="1:9" ht="12.75">
      <c r="B882" s="416"/>
      <c r="C882" s="205"/>
      <c r="D882" s="1011"/>
      <c r="E882" s="1011"/>
      <c r="F882" s="1011"/>
      <c r="H882" s="265"/>
      <c r="I882" s="265"/>
    </row>
    <row r="883" spans="1:9" ht="14.25" customHeight="1">
      <c r="A883" s="269"/>
      <c r="C883" s="205"/>
      <c r="D883" s="985" t="s">
        <v>2135</v>
      </c>
      <c r="E883" s="985"/>
      <c r="F883" s="985"/>
      <c r="H883" s="265"/>
      <c r="I883" s="265"/>
    </row>
    <row r="884" spans="1:9" ht="14.25">
      <c r="A884" s="269"/>
      <c r="B884" s="269"/>
      <c r="C884" s="205"/>
      <c r="D884" s="985"/>
      <c r="E884" s="985"/>
      <c r="F884" s="985"/>
      <c r="H884" s="265"/>
      <c r="I884" s="265"/>
    </row>
    <row r="885" spans="1:9" ht="14.25">
      <c r="A885" s="269"/>
      <c r="B885" s="269"/>
      <c r="C885" s="205"/>
      <c r="D885" s="985"/>
      <c r="E885" s="985"/>
      <c r="F885" s="985"/>
      <c r="H885" s="265"/>
      <c r="I885" s="265"/>
    </row>
    <row r="886" spans="1:9" ht="14.25">
      <c r="A886" s="269"/>
      <c r="B886" s="269"/>
      <c r="C886" s="205"/>
      <c r="D886" s="985"/>
      <c r="E886" s="985"/>
      <c r="F886" s="985"/>
      <c r="H886" s="265"/>
      <c r="I886" s="265"/>
    </row>
    <row r="887" spans="1:9" ht="14.25">
      <c r="A887" s="269"/>
      <c r="B887" s="269"/>
      <c r="C887" s="205"/>
      <c r="D887" s="985"/>
      <c r="E887" s="985"/>
      <c r="F887" s="985"/>
      <c r="H887" s="265"/>
      <c r="I887" s="265"/>
    </row>
    <row r="888" spans="1:9" ht="14.25" customHeight="1">
      <c r="A888" s="269"/>
      <c r="B888" s="269"/>
      <c r="C888" s="205"/>
      <c r="D888" s="985"/>
      <c r="E888" s="985"/>
      <c r="F888" s="985"/>
      <c r="H888" s="265"/>
      <c r="I888" s="265"/>
    </row>
    <row r="889" spans="1:9" ht="14.25">
      <c r="A889" s="269"/>
      <c r="B889" s="269"/>
      <c r="C889" s="205"/>
      <c r="D889" s="44"/>
      <c r="H889" s="265"/>
      <c r="I889" s="265"/>
    </row>
    <row r="890" spans="1:9" ht="14.25">
      <c r="A890" s="269"/>
      <c r="B890" s="606" t="s">
        <v>79</v>
      </c>
      <c r="C890" s="205"/>
      <c r="D890" s="985" t="s">
        <v>1175</v>
      </c>
      <c r="E890" s="985"/>
      <c r="F890" s="985"/>
      <c r="H890" s="265"/>
      <c r="I890" s="265"/>
    </row>
    <row r="891" spans="1:9" ht="14.25">
      <c r="A891" s="269"/>
      <c r="B891" s="269"/>
      <c r="C891" s="205"/>
      <c r="D891" s="985" t="s">
        <v>1176</v>
      </c>
      <c r="E891" s="985"/>
      <c r="F891" s="985"/>
      <c r="H891" s="265"/>
      <c r="I891" s="265"/>
    </row>
    <row r="892" spans="1:9" ht="14.25">
      <c r="A892" s="269"/>
      <c r="B892" s="269"/>
      <c r="C892" s="205"/>
      <c r="D892" s="3" t="s">
        <v>1429</v>
      </c>
      <c r="E892" s="986" t="s">
        <v>2062</v>
      </c>
      <c r="F892" s="986"/>
      <c r="H892" s="265"/>
      <c r="I892" s="265"/>
    </row>
    <row r="893" spans="1:9" ht="14.25">
      <c r="A893" s="269"/>
      <c r="B893" s="269"/>
      <c r="C893" s="205"/>
      <c r="D893" s="44"/>
      <c r="H893" s="265"/>
      <c r="I893" s="265"/>
    </row>
    <row r="894" spans="1:9" ht="14.25">
      <c r="A894" s="269"/>
      <c r="B894" s="606" t="s">
        <v>79</v>
      </c>
      <c r="C894" s="205"/>
      <c r="D894" s="985" t="s">
        <v>1455</v>
      </c>
      <c r="E894" s="985"/>
      <c r="F894" s="985"/>
      <c r="H894" s="265"/>
      <c r="I894" s="265"/>
    </row>
    <row r="895" spans="1:9" ht="14.25">
      <c r="A895" s="269"/>
      <c r="B895" s="269"/>
      <c r="C895" s="205"/>
      <c r="D895" s="985"/>
      <c r="E895" s="985"/>
      <c r="F895" s="985"/>
      <c r="H895" s="265"/>
      <c r="I895" s="265"/>
    </row>
    <row r="896" spans="1:9" ht="14.25">
      <c r="A896" s="269"/>
      <c r="B896" s="269"/>
      <c r="C896" s="205"/>
      <c r="D896" s="985"/>
      <c r="E896" s="985"/>
      <c r="F896" s="985"/>
      <c r="H896" s="265"/>
      <c r="I896" s="265"/>
    </row>
    <row r="897" spans="1:9" ht="14.25">
      <c r="A897" s="269"/>
      <c r="B897" s="269"/>
      <c r="C897" s="205"/>
      <c r="D897" s="985"/>
      <c r="E897" s="985"/>
      <c r="F897" s="985"/>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05" t="s">
        <v>1514</v>
      </c>
      <c r="E901" s="1005"/>
      <c r="F901" s="1005"/>
      <c r="G901" s="186"/>
      <c r="H901" s="265"/>
      <c r="I901" s="265"/>
    </row>
    <row r="902" spans="1:9" ht="12.75">
      <c r="C902" s="189"/>
      <c r="D902" s="1018" t="s">
        <v>1869</v>
      </c>
      <c r="E902" s="1019"/>
      <c r="F902" s="1019"/>
      <c r="G902" s="186"/>
      <c r="H902" s="265"/>
      <c r="I902" s="265"/>
    </row>
    <row r="903" spans="1:9" ht="12.75">
      <c r="C903" s="189"/>
      <c r="D903" s="637"/>
      <c r="E903" s="637"/>
      <c r="F903" s="637"/>
      <c r="G903" s="186"/>
      <c r="H903" s="265"/>
      <c r="I903" s="265"/>
    </row>
    <row r="904" spans="1:9" ht="14.25">
      <c r="A904" s="269"/>
      <c r="B904" s="606" t="s">
        <v>79</v>
      </c>
      <c r="D904" s="1004" t="s">
        <v>1474</v>
      </c>
      <c r="E904" s="1004"/>
      <c r="F904" s="1004"/>
      <c r="G904" s="186"/>
      <c r="H904" s="265"/>
      <c r="I904" s="265"/>
    </row>
    <row r="905" spans="1:9" ht="12.75">
      <c r="D905" s="3" t="s">
        <v>1429</v>
      </c>
      <c r="E905" s="1017" t="s">
        <v>2062</v>
      </c>
      <c r="F905" s="1017"/>
      <c r="G905" s="186"/>
    </row>
    <row r="906" spans="1:9" ht="12.75">
      <c r="D906" s="44"/>
      <c r="E906" s="186"/>
      <c r="F906" s="186"/>
      <c r="G906" s="186"/>
      <c r="H906" s="265"/>
      <c r="I906" s="265"/>
    </row>
    <row r="907" spans="1:9" ht="14.25">
      <c r="A907" s="269"/>
      <c r="B907" s="606" t="s">
        <v>79</v>
      </c>
      <c r="D907" s="977" t="s">
        <v>1872</v>
      </c>
      <c r="E907" s="1047"/>
      <c r="F907" s="1047"/>
    </row>
    <row r="908" spans="1:9" ht="12.6" customHeight="1">
      <c r="D908" s="1047"/>
      <c r="E908" s="1047"/>
      <c r="F908" s="1047"/>
    </row>
    <row r="909" spans="1:9" ht="14.25">
      <c r="A909" s="269"/>
      <c r="B909" s="269"/>
      <c r="D909" s="44"/>
      <c r="E909" s="186"/>
      <c r="F909" s="186"/>
      <c r="G909" s="186"/>
      <c r="H909" s="265"/>
      <c r="I909" s="265"/>
    </row>
    <row r="910" spans="1:9" ht="12.75">
      <c r="B910" s="606" t="s">
        <v>79</v>
      </c>
      <c r="D910" s="1013" t="s">
        <v>1674</v>
      </c>
      <c r="E910" s="1013"/>
      <c r="F910" s="1013"/>
      <c r="G910" s="186"/>
      <c r="H910" s="265"/>
      <c r="I910" s="265"/>
    </row>
    <row r="911" spans="1:9" ht="29.45" customHeight="1">
      <c r="B911" s="562"/>
      <c r="D911" s="1013"/>
      <c r="E911" s="1013"/>
      <c r="F911" s="1013"/>
      <c r="G911" s="186"/>
      <c r="H911" s="265"/>
      <c r="I911" s="265"/>
    </row>
    <row r="912" spans="1:9" ht="14.25">
      <c r="A912" s="269"/>
      <c r="B912"/>
      <c r="D912" s="985" t="s">
        <v>2135</v>
      </c>
      <c r="E912" s="985"/>
      <c r="F912" s="985"/>
      <c r="G912" s="186"/>
      <c r="H912" s="265"/>
      <c r="I912" s="265"/>
    </row>
    <row r="913" spans="1:9" ht="14.25">
      <c r="A913" s="269"/>
      <c r="B913" s="269"/>
      <c r="D913" s="985"/>
      <c r="E913" s="985"/>
      <c r="F913" s="985"/>
      <c r="G913" s="186"/>
      <c r="H913" s="265"/>
      <c r="I913" s="265"/>
    </row>
    <row r="914" spans="1:9" ht="14.25">
      <c r="A914" s="269"/>
      <c r="B914" s="269"/>
      <c r="D914" s="985"/>
      <c r="E914" s="985"/>
      <c r="F914" s="985"/>
      <c r="G914" s="186"/>
      <c r="H914" s="265"/>
      <c r="I914" s="265"/>
    </row>
    <row r="915" spans="1:9" ht="14.25">
      <c r="A915" s="269"/>
      <c r="B915" s="269"/>
      <c r="D915" s="985"/>
      <c r="E915" s="985"/>
      <c r="F915" s="985"/>
      <c r="G915" s="186"/>
      <c r="H915" s="265"/>
      <c r="I915" s="265"/>
    </row>
    <row r="916" spans="1:9" ht="14.25">
      <c r="A916" s="269"/>
      <c r="B916" s="269"/>
      <c r="D916" s="985"/>
      <c r="E916" s="985"/>
      <c r="F916" s="985"/>
      <c r="G916" s="186"/>
      <c r="H916" s="265"/>
      <c r="I916" s="265"/>
    </row>
    <row r="917" spans="1:9" ht="14.25">
      <c r="A917" s="269"/>
      <c r="B917" s="269"/>
      <c r="D917" s="985"/>
      <c r="E917" s="985"/>
      <c r="F917" s="985"/>
      <c r="G917" s="186"/>
      <c r="H917" s="265"/>
      <c r="I917" s="265"/>
    </row>
    <row r="918" spans="1:9" ht="14.25">
      <c r="A918" s="269"/>
      <c r="B918" s="269"/>
      <c r="D918" s="44"/>
      <c r="E918" s="186"/>
      <c r="F918" s="186"/>
      <c r="G918" s="186"/>
      <c r="H918" s="265"/>
      <c r="I918" s="265"/>
    </row>
    <row r="919" spans="1:9" ht="14.25">
      <c r="A919" s="269"/>
      <c r="B919" s="606" t="s">
        <v>79</v>
      </c>
      <c r="D919" s="1014" t="s">
        <v>1175</v>
      </c>
      <c r="E919" s="1014"/>
      <c r="F919" s="1014"/>
      <c r="G919" s="186"/>
      <c r="H919" s="265"/>
      <c r="I919" s="265"/>
    </row>
    <row r="920" spans="1:9" ht="14.25">
      <c r="A920" s="269"/>
      <c r="B920" s="269"/>
      <c r="D920" s="1014" t="s">
        <v>1176</v>
      </c>
      <c r="E920" s="1014"/>
      <c r="F920" s="1014"/>
      <c r="G920" s="186"/>
      <c r="H920" s="265"/>
      <c r="I920" s="265"/>
    </row>
    <row r="921" spans="1:9" ht="14.25">
      <c r="A921" s="269"/>
      <c r="B921" s="269"/>
      <c r="D921" s="3" t="s">
        <v>1475</v>
      </c>
      <c r="E921" s="1015" t="s">
        <v>2062</v>
      </c>
      <c r="F921" s="1015"/>
      <c r="G921" s="186"/>
      <c r="H921" s="265"/>
      <c r="I921" s="265"/>
    </row>
    <row r="922" spans="1:9" ht="14.25">
      <c r="A922" s="269"/>
      <c r="B922" s="269"/>
      <c r="D922" s="44"/>
      <c r="E922" s="186"/>
      <c r="F922" s="186"/>
      <c r="G922" s="186"/>
      <c r="H922" s="265"/>
      <c r="I922" s="265"/>
    </row>
    <row r="923" spans="1:9" ht="14.25">
      <c r="A923" s="269"/>
      <c r="B923" s="606" t="s">
        <v>79</v>
      </c>
      <c r="D923" s="985" t="s">
        <v>1455</v>
      </c>
      <c r="E923" s="985"/>
      <c r="F923" s="985"/>
      <c r="G923" s="186"/>
      <c r="H923" s="265"/>
      <c r="I923" s="265"/>
    </row>
    <row r="924" spans="1:9" ht="14.25">
      <c r="A924" s="269"/>
      <c r="B924" s="269"/>
      <c r="D924" s="985"/>
      <c r="E924" s="985"/>
      <c r="F924" s="985"/>
      <c r="G924" s="186"/>
      <c r="H924" s="265"/>
      <c r="I924" s="265"/>
    </row>
    <row r="925" spans="1:9" ht="14.25">
      <c r="A925" s="269"/>
      <c r="B925" s="269"/>
      <c r="D925" s="985"/>
      <c r="E925" s="985"/>
      <c r="F925" s="985"/>
      <c r="G925" s="186"/>
      <c r="H925" s="265"/>
      <c r="I925" s="265"/>
    </row>
    <row r="926" spans="1:9" ht="14.25">
      <c r="A926" s="269"/>
      <c r="B926" s="269"/>
      <c r="D926" s="985"/>
      <c r="E926" s="985"/>
      <c r="F926" s="985"/>
      <c r="G926" s="186"/>
      <c r="H926" s="265"/>
      <c r="I926" s="265"/>
    </row>
    <row r="927" spans="1:9" ht="12.75">
      <c r="A927" s="44"/>
      <c r="B927" s="44"/>
      <c r="C927" s="205"/>
      <c r="D927" s="186"/>
      <c r="E927" s="186"/>
      <c r="F927" s="186"/>
      <c r="G927" s="186"/>
      <c r="H927" s="265"/>
      <c r="I927" s="265"/>
    </row>
    <row r="928" spans="1:9" ht="12.75">
      <c r="A928" s="1038" t="s">
        <v>1402</v>
      </c>
      <c r="B928" s="1038"/>
      <c r="C928" s="1038"/>
      <c r="D928" s="1038"/>
      <c r="E928" s="1038"/>
      <c r="F928" s="1038"/>
      <c r="G928" s="1038"/>
      <c r="H928" s="265"/>
      <c r="I928" s="265"/>
    </row>
    <row r="929" spans="1:9" ht="12.75">
      <c r="A929" s="44"/>
      <c r="B929" s="44"/>
      <c r="C929" s="205"/>
      <c r="D929" s="186"/>
      <c r="E929" s="186"/>
      <c r="F929" s="186"/>
      <c r="G929" s="186"/>
      <c r="H929" s="265"/>
      <c r="I929" s="265"/>
    </row>
    <row r="930" spans="1:9" ht="12.75">
      <c r="C930" s="205"/>
      <c r="D930" s="1008" t="s">
        <v>1629</v>
      </c>
      <c r="E930" s="1008"/>
      <c r="F930" s="1008"/>
      <c r="G930" s="186"/>
      <c r="H930" s="265"/>
      <c r="I930" s="265"/>
    </row>
    <row r="931" spans="1:9" ht="12.75">
      <c r="A931" s="188"/>
      <c r="B931" s="188"/>
      <c r="C931" s="188"/>
      <c r="D931" s="1004" t="s">
        <v>1473</v>
      </c>
      <c r="E931" s="1004"/>
      <c r="F931" s="1004"/>
      <c r="G931" s="186"/>
      <c r="H931" s="265"/>
      <c r="I931" s="265"/>
    </row>
    <row r="932" spans="1:9" ht="12.75">
      <c r="A932" s="188"/>
      <c r="B932" s="188"/>
      <c r="C932" s="188"/>
      <c r="F932" s="186"/>
      <c r="G932" s="186"/>
      <c r="H932" s="265"/>
      <c r="I932" s="265"/>
    </row>
    <row r="933" spans="1:9" ht="13.7" customHeight="1">
      <c r="A933" s="188"/>
      <c r="B933" s="606" t="s">
        <v>79</v>
      </c>
      <c r="C933" s="188"/>
      <c r="D933" s="1011" t="s">
        <v>1638</v>
      </c>
      <c r="E933" s="1011"/>
      <c r="F933" s="1011"/>
      <c r="G933" s="186"/>
      <c r="H933" s="265"/>
      <c r="I933" s="265"/>
    </row>
    <row r="934" spans="1:9" ht="12.75">
      <c r="A934" s="188"/>
      <c r="B934" s="188"/>
      <c r="C934" s="188"/>
      <c r="D934" s="1011"/>
      <c r="E934" s="1011"/>
      <c r="F934" s="1011"/>
      <c r="G934" s="186"/>
      <c r="H934" s="265"/>
      <c r="I934" s="265"/>
    </row>
    <row r="935" spans="1:9" ht="12.75">
      <c r="A935" s="188"/>
      <c r="B935" s="188"/>
      <c r="C935" s="188"/>
      <c r="D935" s="1011"/>
      <c r="E935" s="1011"/>
      <c r="F935" s="1011"/>
      <c r="G935" s="186"/>
      <c r="H935" s="265"/>
      <c r="I935" s="265"/>
    </row>
    <row r="936" spans="1:9" ht="12.75">
      <c r="A936" s="188"/>
      <c r="B936" s="188"/>
      <c r="C936" s="188"/>
      <c r="D936" s="1011"/>
      <c r="E936" s="1011"/>
      <c r="F936" s="1011"/>
      <c r="G936" s="186"/>
      <c r="H936" s="265"/>
      <c r="I936" s="265"/>
    </row>
    <row r="937" spans="1:9" ht="12.75">
      <c r="A937" s="188"/>
      <c r="B937" s="188"/>
      <c r="C937" s="188"/>
      <c r="D937" s="1011"/>
      <c r="E937" s="1011"/>
      <c r="F937" s="1011"/>
      <c r="G937" s="186"/>
      <c r="H937" s="265"/>
      <c r="I937" s="265"/>
    </row>
    <row r="938" spans="1:9" ht="12.75">
      <c r="A938" s="189"/>
      <c r="B938" s="189"/>
      <c r="C938" s="189"/>
      <c r="F938" s="186"/>
      <c r="G938" s="186"/>
      <c r="H938" s="265"/>
      <c r="I938" s="265"/>
    </row>
    <row r="939" spans="1:9" ht="14.25" customHeight="1">
      <c r="A939" s="269"/>
      <c r="B939" s="606" t="s">
        <v>79</v>
      </c>
      <c r="C939" s="189"/>
      <c r="D939" s="986" t="s">
        <v>1721</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79</v>
      </c>
      <c r="C947" s="353"/>
      <c r="D947" s="986" t="s">
        <v>1722</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25">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79</v>
      </c>
      <c r="C957" s="189"/>
      <c r="D957" s="1012" t="s">
        <v>1639</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25">
      <c r="A965" s="269"/>
      <c r="B965" s="606" t="s">
        <v>79</v>
      </c>
      <c r="C965" s="189"/>
      <c r="D965" s="986" t="s">
        <v>1640</v>
      </c>
      <c r="E965" s="986"/>
      <c r="F965" s="986"/>
      <c r="G965" s="186"/>
    </row>
    <row r="966" spans="1:9" s="445" customFormat="1" ht="14.25">
      <c r="A966" s="269"/>
      <c r="B966" s="269"/>
      <c r="C966" s="189"/>
      <c r="D966" s="986"/>
      <c r="E966" s="986"/>
      <c r="F966" s="986"/>
      <c r="G966" s="186"/>
    </row>
    <row r="967" spans="1:9" s="445" customFormat="1" ht="14.25">
      <c r="A967" s="269"/>
      <c r="B967" s="269"/>
      <c r="C967" s="189"/>
      <c r="D967" s="986"/>
      <c r="E967" s="986"/>
      <c r="F967" s="986"/>
      <c r="G967" s="186"/>
    </row>
    <row r="968" spans="1:9" s="445" customFormat="1" ht="14.25">
      <c r="A968" s="269"/>
      <c r="B968" s="269"/>
      <c r="C968" s="189"/>
      <c r="D968" s="986"/>
      <c r="E968" s="986"/>
      <c r="F968" s="986"/>
      <c r="G968" s="186"/>
    </row>
    <row r="969" spans="1:9" s="445" customFormat="1" ht="14.25">
      <c r="A969" s="269"/>
      <c r="B969" s="269"/>
      <c r="C969" s="189"/>
      <c r="D969" s="3"/>
      <c r="E969" s="5"/>
      <c r="F969" s="186"/>
      <c r="G969" s="186"/>
    </row>
    <row r="970" spans="1:9" ht="14.25" customHeight="1">
      <c r="A970" s="18"/>
      <c r="B970" s="18"/>
      <c r="C970" s="205"/>
      <c r="D970" s="985" t="s">
        <v>1641</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25">
      <c r="A973" s="269"/>
      <c r="B973" s="606" t="s">
        <v>79</v>
      </c>
      <c r="D973" s="985" t="s">
        <v>1642</v>
      </c>
      <c r="E973" s="985"/>
      <c r="F973" s="985"/>
    </row>
    <row r="974" spans="1:9" ht="12.7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1632</v>
      </c>
      <c r="E976" s="1008"/>
      <c r="F976" s="1008"/>
      <c r="G976" s="186"/>
      <c r="H976" s="265"/>
      <c r="I976" s="265"/>
    </row>
    <row r="977" spans="1:9" ht="14.25" customHeight="1">
      <c r="A977" s="189"/>
      <c r="B977" s="189"/>
      <c r="C977" s="189"/>
      <c r="D977" s="190"/>
      <c r="F977" s="186"/>
      <c r="G977" s="186"/>
      <c r="H977" s="265"/>
      <c r="I977" s="265"/>
    </row>
    <row r="978" spans="1:9" ht="14.45" customHeight="1">
      <c r="A978" s="269"/>
      <c r="B978" s="606" t="s">
        <v>79</v>
      </c>
      <c r="C978" s="205"/>
      <c r="D978" s="1007" t="s">
        <v>1631</v>
      </c>
      <c r="E978" s="1007"/>
      <c r="F978" s="1007"/>
      <c r="G978" s="186"/>
      <c r="H978" s="265"/>
      <c r="I978" s="265"/>
    </row>
    <row r="979" spans="1:9" ht="12.75">
      <c r="A979" s="205"/>
      <c r="B979" s="205"/>
      <c r="C979" s="205"/>
      <c r="D979" s="1007"/>
      <c r="E979" s="1007"/>
      <c r="F979" s="1007"/>
      <c r="G979" s="186"/>
      <c r="H979" s="265"/>
      <c r="I979" s="265"/>
    </row>
    <row r="980" spans="1:9" ht="12.75">
      <c r="A980" s="205"/>
      <c r="B980" s="205"/>
      <c r="C980" s="205"/>
      <c r="D980" s="1007"/>
      <c r="E980" s="1007"/>
      <c r="F980" s="1007"/>
      <c r="G980" s="186"/>
      <c r="H980" s="265"/>
      <c r="I980" s="265"/>
    </row>
    <row r="981" spans="1:9" ht="12.75">
      <c r="A981" s="205"/>
      <c r="B981" s="205"/>
      <c r="C981" s="205"/>
      <c r="D981" s="1007"/>
      <c r="E981" s="1007"/>
      <c r="F981" s="1007"/>
      <c r="G981" s="186"/>
      <c r="H981" s="265"/>
      <c r="I981" s="265"/>
    </row>
    <row r="982" spans="1:9" ht="12.75">
      <c r="A982" s="205"/>
      <c r="B982" s="205"/>
      <c r="C982" s="205"/>
      <c r="D982" s="1007"/>
      <c r="E982" s="1007"/>
      <c r="F982" s="1007"/>
      <c r="G982" s="186"/>
      <c r="H982" s="265"/>
      <c r="I982" s="265"/>
    </row>
    <row r="983" spans="1:9" ht="12.75">
      <c r="A983" s="205"/>
      <c r="B983" s="205"/>
      <c r="C983" s="205"/>
      <c r="D983" s="1007"/>
      <c r="E983" s="1007"/>
      <c r="F983" s="1007"/>
      <c r="G983" s="186"/>
      <c r="H983" s="265"/>
      <c r="I983" s="265"/>
    </row>
    <row r="984" spans="1:9" ht="12.75">
      <c r="A984" s="205"/>
      <c r="B984" s="205"/>
      <c r="C984" s="205"/>
      <c r="D984" s="610"/>
      <c r="E984" s="610"/>
      <c r="F984" s="610"/>
      <c r="G984" s="186"/>
      <c r="H984" s="265"/>
      <c r="I984" s="265"/>
    </row>
    <row r="985" spans="1:9" ht="14.45" customHeight="1">
      <c r="A985" s="269"/>
      <c r="B985" s="606" t="s">
        <v>79</v>
      </c>
      <c r="C985" s="205"/>
      <c r="D985" s="1007" t="s">
        <v>1630</v>
      </c>
      <c r="E985" s="1007"/>
      <c r="F985" s="1007"/>
      <c r="G985" s="186"/>
      <c r="H985" s="265"/>
      <c r="I985" s="265"/>
    </row>
    <row r="986" spans="1:9" ht="12.75">
      <c r="A986" s="205"/>
      <c r="B986" s="205"/>
      <c r="C986" s="205"/>
      <c r="D986" s="1007"/>
      <c r="E986" s="1007"/>
      <c r="F986" s="1007"/>
      <c r="G986" s="186"/>
      <c r="H986" s="265"/>
      <c r="I986" s="265"/>
    </row>
    <row r="987" spans="1:9" ht="12.75">
      <c r="A987" s="205"/>
      <c r="B987" s="205"/>
      <c r="C987" s="205"/>
      <c r="D987" s="1007"/>
      <c r="E987" s="1007"/>
      <c r="F987" s="1007"/>
      <c r="G987" s="186"/>
      <c r="H987" s="265"/>
      <c r="I987" s="265"/>
    </row>
    <row r="988" spans="1:9" ht="12.75">
      <c r="A988" s="205"/>
      <c r="B988" s="205"/>
      <c r="C988" s="205"/>
      <c r="D988" s="1007"/>
      <c r="E988" s="1007"/>
      <c r="F988" s="1007"/>
      <c r="G988" s="186"/>
      <c r="H988" s="265"/>
      <c r="I988" s="265"/>
    </row>
    <row r="989" spans="1:9" ht="12.75">
      <c r="A989" s="205"/>
      <c r="B989" s="205"/>
      <c r="C989" s="205"/>
      <c r="D989" s="1007"/>
      <c r="E989" s="1007"/>
      <c r="F989" s="1007"/>
      <c r="G989" s="186"/>
      <c r="H989" s="265"/>
      <c r="I989" s="265"/>
    </row>
    <row r="990" spans="1:9" ht="12.75">
      <c r="A990" s="205"/>
      <c r="B990" s="205"/>
      <c r="C990" s="205"/>
      <c r="D990" s="368"/>
      <c r="E990" s="186"/>
      <c r="F990" s="186"/>
      <c r="G990" s="186"/>
      <c r="H990" s="265"/>
      <c r="I990" s="265"/>
    </row>
    <row r="991" spans="1:9" ht="14.25">
      <c r="A991" s="269"/>
      <c r="B991" s="606" t="s">
        <v>79</v>
      </c>
      <c r="C991" s="205"/>
      <c r="D991" s="1007" t="s">
        <v>1633</v>
      </c>
      <c r="E991" s="1007"/>
      <c r="F991" s="1007"/>
      <c r="G991" s="186"/>
      <c r="H991" s="265"/>
      <c r="I991" s="265"/>
    </row>
    <row r="992" spans="1:9" ht="12.75">
      <c r="A992" s="205"/>
      <c r="B992" s="205"/>
      <c r="C992" s="205"/>
      <c r="D992" s="1007"/>
      <c r="E992" s="1007"/>
      <c r="F992" s="1007"/>
      <c r="G992" s="186"/>
      <c r="H992" s="265"/>
      <c r="I992" s="265"/>
    </row>
    <row r="993" spans="1:9" ht="12.75">
      <c r="A993" s="205"/>
      <c r="B993" s="205"/>
      <c r="C993" s="205"/>
      <c r="D993" s="1007"/>
      <c r="E993" s="1007"/>
      <c r="F993" s="1007"/>
      <c r="G993" s="186"/>
      <c r="H993" s="265"/>
      <c r="I993" s="265"/>
    </row>
    <row r="994" spans="1:9" ht="12.75">
      <c r="A994" s="205"/>
      <c r="B994" s="205"/>
      <c r="C994" s="205"/>
      <c r="D994" s="1007"/>
      <c r="E994" s="1007"/>
      <c r="F994" s="1007"/>
      <c r="G994" s="186"/>
      <c r="H994" s="265"/>
      <c r="I994" s="265"/>
    </row>
    <row r="995" spans="1:9" ht="12.75">
      <c r="A995" s="205"/>
      <c r="B995" s="205"/>
      <c r="C995" s="205"/>
      <c r="D995" s="1007"/>
      <c r="E995" s="1007"/>
      <c r="F995" s="1007"/>
      <c r="G995" s="186"/>
      <c r="H995" s="265"/>
      <c r="I995" s="265"/>
    </row>
    <row r="996" spans="1:9" ht="12.75">
      <c r="A996" s="205"/>
      <c r="B996" s="205"/>
      <c r="C996" s="205"/>
      <c r="D996" s="368"/>
      <c r="E996" s="186"/>
      <c r="F996" s="186"/>
      <c r="G996" s="186"/>
      <c r="H996" s="265"/>
      <c r="I996" s="265"/>
    </row>
    <row r="997" spans="1:9" ht="14.45" customHeight="1">
      <c r="A997" s="269"/>
      <c r="B997" s="606" t="s">
        <v>79</v>
      </c>
      <c r="C997" s="205"/>
      <c r="D997" s="1007" t="s">
        <v>1634</v>
      </c>
      <c r="E997" s="1007"/>
      <c r="F997" s="1007"/>
      <c r="G997" s="186"/>
      <c r="H997" s="265"/>
      <c r="I997" s="265"/>
    </row>
    <row r="998" spans="1:9" ht="12.75">
      <c r="A998" s="205"/>
      <c r="B998" s="205"/>
      <c r="C998" s="205"/>
      <c r="D998" s="1007"/>
      <c r="E998" s="1007"/>
      <c r="F998" s="1007"/>
      <c r="G998" s="186"/>
      <c r="H998" s="265"/>
      <c r="I998" s="265"/>
    </row>
    <row r="999" spans="1:9" ht="12.75">
      <c r="A999" s="205"/>
      <c r="B999" s="205"/>
      <c r="C999" s="205"/>
      <c r="D999" s="1007"/>
      <c r="E999" s="1007"/>
      <c r="F999" s="1007"/>
      <c r="G999" s="186"/>
      <c r="H999" s="265"/>
      <c r="I999" s="265"/>
    </row>
    <row r="1000" spans="1:9" ht="12.75">
      <c r="A1000" s="205"/>
      <c r="B1000" s="205"/>
      <c r="C1000" s="205"/>
      <c r="D1000" s="610"/>
      <c r="E1000" s="610"/>
      <c r="F1000" s="610"/>
      <c r="G1000" s="186"/>
      <c r="H1000" s="265"/>
      <c r="I1000" s="265"/>
    </row>
    <row r="1001" spans="1:9" ht="14.25">
      <c r="A1001" s="269"/>
      <c r="B1001" s="606" t="s">
        <v>79</v>
      </c>
      <c r="C1001" s="205"/>
      <c r="D1001" s="1007" t="s">
        <v>1635</v>
      </c>
      <c r="E1001" s="1007"/>
      <c r="F1001" s="1007"/>
      <c r="G1001" s="186"/>
      <c r="H1001" s="265"/>
      <c r="I1001" s="265"/>
    </row>
    <row r="1002" spans="1:9" ht="12.75">
      <c r="A1002" s="205"/>
      <c r="B1002" s="205"/>
      <c r="C1002" s="205"/>
      <c r="D1002" s="1007"/>
      <c r="E1002" s="1007"/>
      <c r="F1002" s="1007"/>
      <c r="G1002" s="186"/>
      <c r="H1002" s="265"/>
      <c r="I1002" s="265"/>
    </row>
    <row r="1003" spans="1:9" ht="12.75">
      <c r="A1003" s="205"/>
      <c r="B1003" s="205"/>
      <c r="C1003" s="205"/>
      <c r="D1003" s="368"/>
      <c r="E1003" s="186"/>
      <c r="F1003" s="186"/>
      <c r="G1003" s="186"/>
      <c r="H1003" s="265"/>
      <c r="I1003" s="265"/>
    </row>
    <row r="1004" spans="1:9" ht="12.75">
      <c r="A1004" s="205"/>
      <c r="B1004" s="606" t="s">
        <v>79</v>
      </c>
      <c r="C1004" s="205"/>
      <c r="D1004" s="977" t="s">
        <v>2295</v>
      </c>
      <c r="E1004" s="985"/>
      <c r="F1004" s="985"/>
      <c r="G1004" s="186"/>
      <c r="H1004" s="265"/>
      <c r="I1004" s="265"/>
    </row>
    <row r="1005" spans="1:9" ht="12.75">
      <c r="A1005" s="205"/>
      <c r="B1005" s="205"/>
      <c r="C1005" s="205"/>
      <c r="D1005" s="985"/>
      <c r="E1005" s="985"/>
      <c r="F1005" s="985"/>
      <c r="G1005" s="186"/>
      <c r="H1005" s="265"/>
      <c r="I1005" s="265"/>
    </row>
    <row r="1006" spans="1:9" ht="12.75">
      <c r="A1006" s="205"/>
      <c r="B1006" s="205"/>
      <c r="C1006" s="205"/>
      <c r="D1006" s="186"/>
      <c r="E1006" s="186"/>
      <c r="F1006" s="186"/>
      <c r="G1006" s="186"/>
      <c r="H1006" s="265"/>
      <c r="I1006" s="265"/>
    </row>
    <row r="1007" spans="1:9" ht="12.75">
      <c r="A1007" s="205"/>
      <c r="B1007" s="606" t="s">
        <v>79</v>
      </c>
      <c r="C1007" s="205"/>
      <c r="D1007" s="1009" t="s">
        <v>1759</v>
      </c>
      <c r="E1007" s="1010"/>
      <c r="F1007" s="1010"/>
      <c r="G1007" s="186"/>
      <c r="H1007" s="265"/>
      <c r="I1007" s="265"/>
    </row>
    <row r="1008" spans="1:9" ht="12.75">
      <c r="A1008" s="205"/>
      <c r="B1008" s="205"/>
      <c r="C1008" s="205"/>
      <c r="D1008" s="1009"/>
      <c r="E1008" s="1010"/>
      <c r="F1008" s="1010"/>
      <c r="G1008" s="186"/>
      <c r="H1008" s="265"/>
      <c r="I1008" s="265"/>
    </row>
    <row r="1009" spans="1:9" ht="12.75">
      <c r="A1009" s="205"/>
      <c r="B1009" s="205"/>
      <c r="C1009" s="205"/>
      <c r="D1009" s="1009"/>
      <c r="E1009" s="1010"/>
      <c r="F1009" s="1010"/>
      <c r="G1009" s="186"/>
      <c r="H1009" s="265"/>
      <c r="I1009" s="265"/>
    </row>
    <row r="1010" spans="1:9" ht="12.75">
      <c r="A1010" s="205"/>
      <c r="B1010" s="205"/>
      <c r="C1010" s="205"/>
      <c r="D1010" s="1010"/>
      <c r="E1010" s="1010"/>
      <c r="F1010" s="1010"/>
      <c r="G1010" s="186"/>
      <c r="H1010" s="265"/>
      <c r="I1010" s="265"/>
    </row>
    <row r="1011" spans="1:9" ht="12.75">
      <c r="A1011" s="205"/>
      <c r="B1011" s="205"/>
      <c r="C1011" s="205"/>
      <c r="D1011" s="44"/>
      <c r="E1011" s="186"/>
      <c r="F1011" s="186"/>
      <c r="G1011" s="186"/>
      <c r="H1011" s="265"/>
      <c r="I1011" s="265"/>
    </row>
    <row r="1012" spans="1:9" ht="12.75">
      <c r="A1012" s="205"/>
      <c r="B1012" s="606" t="s">
        <v>79</v>
      </c>
      <c r="C1012" s="205"/>
      <c r="D1012" s="1004" t="s">
        <v>2136</v>
      </c>
      <c r="E1012" s="1004"/>
      <c r="F1012" s="1004"/>
      <c r="G1012" s="186"/>
      <c r="H1012" s="265"/>
      <c r="I1012" s="265"/>
    </row>
    <row r="1013" spans="1:9" ht="12.75">
      <c r="A1013" s="205"/>
      <c r="B1013" s="205"/>
      <c r="C1013" s="205"/>
      <c r="D1013" s="44"/>
      <c r="E1013" s="186"/>
      <c r="F1013" s="186"/>
      <c r="G1013" s="186"/>
      <c r="H1013" s="265"/>
      <c r="I1013" s="265"/>
    </row>
    <row r="1014" spans="1:9" ht="12.75">
      <c r="A1014" s="205"/>
      <c r="B1014" s="606" t="s">
        <v>79</v>
      </c>
      <c r="C1014" s="205"/>
      <c r="D1014" s="1004" t="s">
        <v>2137</v>
      </c>
      <c r="E1014" s="1004"/>
      <c r="F1014" s="1004"/>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5" t="s">
        <v>1476</v>
      </c>
      <c r="E1016" s="1005"/>
      <c r="F1016" s="1005"/>
      <c r="G1016" s="186"/>
      <c r="H1016" s="265"/>
      <c r="I1016" s="265"/>
    </row>
    <row r="1017" spans="1:9" ht="12.75">
      <c r="A1017" s="205"/>
      <c r="C1017" s="205"/>
      <c r="D1017" s="190"/>
      <c r="E1017" s="186"/>
      <c r="F1017" s="186"/>
      <c r="G1017" s="186"/>
      <c r="H1017" s="265"/>
      <c r="I1017" s="265"/>
    </row>
    <row r="1018" spans="1:9" ht="14.25">
      <c r="A1018" s="269"/>
      <c r="B1018" s="606" t="s">
        <v>79</v>
      </c>
      <c r="C1018" s="205"/>
      <c r="D1018" s="985" t="s">
        <v>1636</v>
      </c>
      <c r="E1018" s="985"/>
      <c r="F1018" s="985"/>
      <c r="G1018" s="186"/>
      <c r="H1018" s="265"/>
      <c r="I1018" s="265"/>
    </row>
    <row r="1019" spans="1:9" ht="12.75">
      <c r="A1019" s="205"/>
      <c r="B1019" s="205"/>
      <c r="C1019" s="205"/>
      <c r="D1019" s="985"/>
      <c r="E1019" s="985"/>
      <c r="F1019" s="985"/>
      <c r="G1019" s="186"/>
      <c r="H1019" s="265"/>
      <c r="I1019" s="265"/>
    </row>
    <row r="1020" spans="1:9" ht="12.75">
      <c r="A1020" s="205"/>
      <c r="B1020" s="205"/>
      <c r="C1020" s="205"/>
      <c r="D1020" s="985"/>
      <c r="E1020" s="985"/>
      <c r="F1020" s="985"/>
      <c r="G1020" s="186"/>
      <c r="H1020" s="265"/>
      <c r="I1020" s="265"/>
    </row>
    <row r="1021" spans="1:9" ht="12.75">
      <c r="A1021" s="205"/>
      <c r="B1021" s="205"/>
      <c r="C1021" s="205"/>
      <c r="D1021" s="985"/>
      <c r="E1021" s="985"/>
      <c r="F1021" s="985"/>
      <c r="G1021" s="186"/>
      <c r="H1021" s="265"/>
      <c r="I1021" s="265"/>
    </row>
    <row r="1022" spans="1:9" ht="12.75">
      <c r="A1022" s="205"/>
      <c r="B1022" s="205"/>
      <c r="C1022" s="205"/>
      <c r="D1022" s="985"/>
      <c r="E1022" s="985"/>
      <c r="F1022" s="985"/>
      <c r="G1022" s="186"/>
      <c r="H1022" s="265"/>
      <c r="I1022" s="265"/>
    </row>
    <row r="1023" spans="1:9" ht="12.75">
      <c r="A1023" s="205"/>
      <c r="B1023" s="205"/>
      <c r="C1023" s="205"/>
      <c r="G1023" s="186"/>
      <c r="H1023" s="265"/>
      <c r="I1023" s="265"/>
    </row>
    <row r="1024" spans="1:9" ht="14.25">
      <c r="A1024" s="269"/>
      <c r="B1024" s="606" t="s">
        <v>79</v>
      </c>
      <c r="C1024" s="205"/>
      <c r="D1024" s="985" t="s">
        <v>1637</v>
      </c>
      <c r="E1024" s="985"/>
      <c r="F1024" s="985"/>
      <c r="G1024" s="186"/>
      <c r="H1024" s="265"/>
      <c r="I1024" s="265"/>
    </row>
    <row r="1025" spans="1:9" ht="12.75">
      <c r="A1025" s="205"/>
      <c r="B1025" s="205"/>
      <c r="C1025" s="205"/>
      <c r="D1025" s="985"/>
      <c r="E1025" s="985"/>
      <c r="F1025" s="985"/>
      <c r="G1025" s="186"/>
      <c r="H1025" s="265"/>
      <c r="I1025" s="265"/>
    </row>
    <row r="1026" spans="1:9" ht="12.75">
      <c r="A1026" s="205"/>
      <c r="B1026" s="205"/>
      <c r="C1026" s="205"/>
      <c r="D1026" s="985"/>
      <c r="E1026" s="985"/>
      <c r="F1026" s="985"/>
      <c r="G1026" s="186"/>
      <c r="H1026" s="265"/>
      <c r="I1026" s="265"/>
    </row>
    <row r="1027" spans="1:9" ht="12.75">
      <c r="A1027" s="205"/>
      <c r="B1027" s="205"/>
      <c r="C1027" s="205"/>
      <c r="D1027" s="985"/>
      <c r="E1027" s="985"/>
      <c r="F1027" s="985"/>
      <c r="G1027" s="186"/>
      <c r="H1027" s="265"/>
      <c r="I1027" s="265"/>
    </row>
    <row r="1028" spans="1:9" ht="12.75">
      <c r="A1028" s="205"/>
      <c r="B1028" s="205"/>
      <c r="C1028" s="205"/>
      <c r="D1028" s="985"/>
      <c r="E1028" s="985"/>
      <c r="F1028" s="985"/>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5" t="s">
        <v>1477</v>
      </c>
      <c r="E1030" s="1005"/>
      <c r="F1030" s="1005"/>
      <c r="G1030" s="186"/>
      <c r="H1030" s="265"/>
      <c r="I1030" s="265"/>
    </row>
    <row r="1031" spans="1:9" ht="12.75">
      <c r="A1031" s="205"/>
      <c r="B1031" s="205"/>
      <c r="C1031" s="205"/>
      <c r="D1031" s="190"/>
      <c r="E1031" s="186"/>
      <c r="F1031" s="186"/>
      <c r="G1031" s="186"/>
      <c r="H1031" s="265"/>
      <c r="I1031" s="265"/>
    </row>
    <row r="1032" spans="1:9" ht="14.25">
      <c r="A1032" s="269"/>
      <c r="B1032" s="606" t="s">
        <v>79</v>
      </c>
      <c r="C1032" s="205"/>
      <c r="D1032" s="985" t="s">
        <v>1643</v>
      </c>
      <c r="E1032" s="985"/>
      <c r="F1032" s="985"/>
      <c r="G1032" s="186"/>
      <c r="H1032" s="265"/>
      <c r="I1032" s="265"/>
    </row>
    <row r="1033" spans="1:9" ht="12.75">
      <c r="A1033" s="205"/>
      <c r="B1033" s="205"/>
      <c r="C1033" s="205"/>
      <c r="D1033" s="985"/>
      <c r="E1033" s="985"/>
      <c r="F1033" s="985"/>
      <c r="G1033" s="186"/>
      <c r="H1033" s="265"/>
      <c r="I1033" s="265"/>
    </row>
    <row r="1034" spans="1:9" ht="12.75">
      <c r="A1034" s="205"/>
      <c r="B1034" s="205"/>
      <c r="C1034" s="205"/>
      <c r="D1034" s="985"/>
      <c r="E1034" s="985"/>
      <c r="F1034" s="985"/>
      <c r="G1034" s="186"/>
      <c r="H1034" s="265"/>
      <c r="I1034" s="265"/>
    </row>
    <row r="1035" spans="1:9" ht="12.75">
      <c r="A1035" s="205"/>
      <c r="B1035" s="205"/>
      <c r="C1035" s="205"/>
      <c r="G1035" s="186"/>
      <c r="H1035" s="265"/>
      <c r="I1035" s="265"/>
    </row>
    <row r="1036" spans="1:9" ht="14.25">
      <c r="A1036" s="269"/>
      <c r="B1036" s="606" t="s">
        <v>79</v>
      </c>
      <c r="C1036" s="205"/>
      <c r="D1036" s="985" t="s">
        <v>1644</v>
      </c>
      <c r="E1036" s="985"/>
      <c r="F1036" s="985"/>
      <c r="G1036" s="186"/>
      <c r="H1036" s="265"/>
      <c r="I1036" s="265"/>
    </row>
    <row r="1037" spans="1:9" ht="12.75">
      <c r="A1037" s="205"/>
      <c r="B1037" s="205"/>
      <c r="C1037" s="205"/>
      <c r="D1037" s="985"/>
      <c r="E1037" s="985"/>
      <c r="F1037" s="985"/>
      <c r="G1037" s="186"/>
      <c r="H1037" s="265"/>
      <c r="I1037" s="265"/>
    </row>
    <row r="1038" spans="1:9" ht="12.75">
      <c r="A1038" s="205"/>
      <c r="B1038" s="205"/>
      <c r="C1038" s="205"/>
      <c r="D1038" s="985"/>
      <c r="E1038" s="985"/>
      <c r="F1038" s="985"/>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5" t="s">
        <v>1478</v>
      </c>
      <c r="E1040" s="1005"/>
      <c r="F1040" s="1005"/>
      <c r="G1040" s="186"/>
      <c r="H1040" s="265"/>
      <c r="I1040" s="265"/>
    </row>
    <row r="1041" spans="1:9" ht="12.75">
      <c r="A1041" s="205"/>
      <c r="B1041" s="205"/>
      <c r="C1041" s="205"/>
      <c r="D1041" s="190"/>
      <c r="E1041" s="186"/>
      <c r="F1041" s="186"/>
      <c r="G1041" s="186"/>
      <c r="H1041" s="265"/>
      <c r="I1041" s="265"/>
    </row>
    <row r="1042" spans="1:9" ht="14.25" customHeight="1">
      <c r="A1042" s="269"/>
      <c r="B1042" s="606" t="s">
        <v>79</v>
      </c>
      <c r="C1042" s="205"/>
      <c r="D1042" s="985" t="s">
        <v>1646</v>
      </c>
      <c r="E1042" s="985"/>
      <c r="F1042" s="985"/>
      <c r="G1042" s="24"/>
      <c r="H1042" s="207"/>
      <c r="I1042" s="207"/>
    </row>
    <row r="1043" spans="1:9" ht="12.75">
      <c r="A1043" s="205"/>
      <c r="B1043" s="205"/>
      <c r="C1043" s="205"/>
      <c r="D1043" s="985"/>
      <c r="E1043" s="985"/>
      <c r="F1043" s="985"/>
      <c r="G1043" s="24"/>
      <c r="H1043" s="207"/>
      <c r="I1043" s="207"/>
    </row>
    <row r="1044" spans="1:9" ht="12.7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79</v>
      </c>
      <c r="C1046" s="205"/>
      <c r="D1046" s="985" t="s">
        <v>1645</v>
      </c>
      <c r="E1046" s="985"/>
      <c r="F1046" s="985"/>
      <c r="G1046" s="207"/>
      <c r="H1046" s="265"/>
      <c r="I1046" s="265"/>
    </row>
    <row r="1047" spans="1:9" ht="12.75">
      <c r="A1047" s="205"/>
      <c r="B1047" s="205"/>
      <c r="C1047" s="205"/>
      <c r="D1047" s="985"/>
      <c r="E1047" s="985"/>
      <c r="F1047" s="985"/>
      <c r="G1047" s="207"/>
      <c r="H1047" s="265"/>
      <c r="I1047" s="265"/>
    </row>
    <row r="1048" spans="1:9" ht="12.7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79</v>
      </c>
      <c r="C1050" s="205"/>
      <c r="D1050" s="983" t="s">
        <v>1647</v>
      </c>
      <c r="E1050" s="983"/>
      <c r="F1050" s="983"/>
      <c r="G1050" s="206"/>
      <c r="H1050" s="265"/>
      <c r="I1050" s="265"/>
    </row>
    <row r="1051" spans="1:9" ht="12.75">
      <c r="A1051" s="205"/>
      <c r="B1051" s="205"/>
      <c r="C1051" s="205"/>
      <c r="D1051" s="983"/>
      <c r="E1051" s="983"/>
      <c r="F1051" s="983"/>
      <c r="G1051" s="206"/>
      <c r="H1051" s="265"/>
      <c r="I1051" s="265"/>
    </row>
    <row r="1052" spans="1:9" ht="12.7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79</v>
      </c>
      <c r="C1054" s="205"/>
      <c r="D1054" s="985" t="s">
        <v>1648</v>
      </c>
      <c r="E1054" s="985"/>
      <c r="F1054" s="985"/>
      <c r="G1054" s="206"/>
      <c r="H1054" s="206"/>
      <c r="I1054" s="206"/>
    </row>
    <row r="1055" spans="1:9" ht="12.75">
      <c r="A1055" s="205"/>
      <c r="B1055" s="205"/>
      <c r="C1055" s="205"/>
      <c r="D1055" s="985"/>
      <c r="E1055" s="985"/>
      <c r="F1055" s="985"/>
      <c r="G1055" s="206"/>
      <c r="H1055" s="206"/>
      <c r="I1055" s="206"/>
    </row>
    <row r="1056" spans="1:9" ht="12.75">
      <c r="A1056" s="205"/>
      <c r="B1056" s="205"/>
      <c r="C1056" s="205"/>
      <c r="D1056" s="985"/>
      <c r="E1056" s="985"/>
      <c r="F1056" s="985"/>
      <c r="G1056" s="206"/>
      <c r="H1056" s="206"/>
      <c r="I1056" s="206"/>
    </row>
    <row r="1057" spans="1:9" ht="14.25">
      <c r="A1057" s="269"/>
      <c r="B1057" s="269"/>
      <c r="C1057" s="205"/>
      <c r="D1057" s="44"/>
      <c r="E1057" s="186"/>
      <c r="F1057" s="186"/>
      <c r="G1057" s="186"/>
      <c r="H1057" s="265"/>
      <c r="I1057" s="265"/>
    </row>
    <row r="1058" spans="1:9" ht="12.75" customHeight="1">
      <c r="A1058" s="205"/>
      <c r="B1058" s="606" t="s">
        <v>79</v>
      </c>
      <c r="C1058" s="205"/>
      <c r="D1058" s="985" t="s">
        <v>1649</v>
      </c>
      <c r="E1058" s="985"/>
      <c r="F1058" s="985"/>
      <c r="G1058" s="206"/>
      <c r="H1058" s="206"/>
      <c r="I1058" s="206"/>
    </row>
    <row r="1059" spans="1:9" ht="12.75">
      <c r="A1059" s="205"/>
      <c r="B1059" s="205"/>
      <c r="C1059" s="205"/>
      <c r="D1059" s="985"/>
      <c r="E1059" s="985"/>
      <c r="F1059" s="985"/>
      <c r="G1059" s="206"/>
      <c r="H1059" s="206"/>
      <c r="I1059" s="206"/>
    </row>
    <row r="1060" spans="1:9" ht="12.75">
      <c r="A1060" s="205"/>
      <c r="B1060" s="205"/>
      <c r="C1060" s="205"/>
      <c r="D1060" s="985"/>
      <c r="E1060" s="985"/>
      <c r="F1060" s="985"/>
      <c r="G1060" s="206"/>
      <c r="H1060" s="206"/>
      <c r="I1060" s="206"/>
    </row>
    <row r="1061" spans="1:9" ht="12.75">
      <c r="A1061" s="205"/>
      <c r="B1061" s="205"/>
      <c r="C1061" s="205"/>
      <c r="D1061" s="44"/>
      <c r="E1061" s="186"/>
      <c r="F1061" s="186"/>
      <c r="G1061" s="186"/>
      <c r="H1061" s="265"/>
      <c r="I1061" s="265"/>
    </row>
    <row r="1062" spans="1:9" ht="12.75" customHeight="1">
      <c r="A1062" s="205"/>
      <c r="B1062" s="606" t="s">
        <v>79</v>
      </c>
      <c r="C1062" s="205"/>
      <c r="D1062" s="985" t="s">
        <v>1479</v>
      </c>
      <c r="E1062" s="985"/>
      <c r="F1062" s="985"/>
      <c r="G1062" s="24"/>
      <c r="H1062" s="265"/>
      <c r="I1062" s="265"/>
    </row>
    <row r="1063" spans="1:9" ht="12.75">
      <c r="A1063" s="205"/>
      <c r="B1063" s="205"/>
      <c r="C1063" s="205"/>
      <c r="D1063" s="985"/>
      <c r="E1063" s="985"/>
      <c r="F1063" s="985"/>
      <c r="G1063" s="24"/>
      <c r="H1063" s="265"/>
      <c r="I1063" s="265"/>
    </row>
    <row r="1064" spans="1:9" ht="12.75">
      <c r="A1064" s="205"/>
      <c r="B1064" s="205"/>
      <c r="C1064" s="205"/>
      <c r="D1064" s="985"/>
      <c r="E1064" s="985"/>
      <c r="F1064" s="985"/>
      <c r="G1064" s="24"/>
      <c r="H1064" s="265"/>
      <c r="I1064" s="265"/>
    </row>
    <row r="1065" spans="1:9" ht="12.75">
      <c r="A1065" s="205"/>
      <c r="B1065" s="205"/>
      <c r="C1065" s="205"/>
      <c r="D1065" s="24"/>
      <c r="E1065" s="24"/>
      <c r="F1065" s="24"/>
      <c r="G1065" s="24"/>
      <c r="H1065" s="265"/>
      <c r="I1065" s="265"/>
    </row>
    <row r="1066" spans="1:9" ht="12.75" customHeight="1">
      <c r="A1066" s="205"/>
      <c r="B1066" s="606" t="s">
        <v>79</v>
      </c>
      <c r="C1066" s="205"/>
      <c r="D1066" s="985" t="s">
        <v>1480</v>
      </c>
      <c r="E1066" s="985"/>
      <c r="F1066" s="985"/>
      <c r="G1066" s="24"/>
      <c r="H1066" s="265"/>
      <c r="I1066" s="265"/>
    </row>
    <row r="1067" spans="1:9" ht="12.75">
      <c r="A1067" s="205"/>
      <c r="B1067" s="205"/>
      <c r="C1067" s="205"/>
      <c r="D1067" s="985"/>
      <c r="E1067" s="985"/>
      <c r="F1067" s="985"/>
      <c r="G1067" s="24"/>
      <c r="H1067" s="265"/>
      <c r="I1067" s="265"/>
    </row>
    <row r="1068" spans="1:9" ht="12.75">
      <c r="A1068" s="205"/>
      <c r="B1068" s="205"/>
      <c r="C1068" s="205"/>
      <c r="D1068" s="985"/>
      <c r="E1068" s="985"/>
      <c r="F1068" s="985"/>
      <c r="G1068" s="24"/>
      <c r="H1068" s="265"/>
      <c r="I1068" s="265"/>
    </row>
    <row r="1069" spans="1:9" ht="12.75">
      <c r="A1069" s="205"/>
      <c r="B1069" s="205"/>
      <c r="C1069" s="205"/>
      <c r="D1069" s="300"/>
      <c r="E1069" s="300"/>
      <c r="F1069" s="300"/>
      <c r="G1069" s="300"/>
      <c r="H1069" s="265"/>
      <c r="I1069" s="265"/>
    </row>
    <row r="1070" spans="1:9" ht="12.75" customHeight="1">
      <c r="A1070" s="205"/>
      <c r="B1070" s="606" t="s">
        <v>79</v>
      </c>
      <c r="C1070" s="205"/>
      <c r="D1070" s="1046" t="s">
        <v>1125</v>
      </c>
      <c r="E1070" s="1046"/>
      <c r="F1070" s="1046"/>
      <c r="G1070" s="605"/>
      <c r="H1070" s="265"/>
      <c r="I1070" s="265"/>
    </row>
    <row r="1071" spans="1:9" ht="12.75">
      <c r="A1071" s="205"/>
      <c r="B1071" s="205"/>
      <c r="C1071" s="205"/>
      <c r="D1071" s="1046"/>
      <c r="E1071" s="1046"/>
      <c r="F1071" s="1046"/>
      <c r="G1071" s="605"/>
      <c r="H1071" s="265"/>
      <c r="I1071" s="265"/>
    </row>
    <row r="1072" spans="1:9" ht="12.75">
      <c r="A1072" s="205"/>
      <c r="B1072" s="205"/>
      <c r="C1072" s="205"/>
      <c r="D1072" s="1046"/>
      <c r="E1072" s="1046"/>
      <c r="F1072" s="1046"/>
      <c r="G1072" s="605"/>
      <c r="H1072" s="265"/>
      <c r="I1072" s="265"/>
    </row>
    <row r="1073" spans="1:9" ht="12.75">
      <c r="A1073" s="205"/>
      <c r="B1073" s="205"/>
      <c r="C1073" s="205"/>
      <c r="D1073" s="1046"/>
      <c r="E1073" s="1046"/>
      <c r="F1073" s="1046"/>
      <c r="G1073" s="605"/>
      <c r="H1073" s="265"/>
      <c r="I1073" s="265"/>
    </row>
    <row r="1074" spans="1:9" ht="12.75">
      <c r="A1074" s="205"/>
      <c r="B1074" s="205"/>
      <c r="C1074" s="205"/>
      <c r="D1074" s="1046"/>
      <c r="E1074" s="1046"/>
      <c r="F1074" s="1046"/>
      <c r="G1074" s="605"/>
      <c r="H1074" s="265"/>
      <c r="I1074" s="265"/>
    </row>
    <row r="1075" spans="1:9" ht="12.75">
      <c r="A1075" s="205"/>
      <c r="B1075" s="205"/>
      <c r="C1075" s="205"/>
      <c r="D1075" s="1046"/>
      <c r="E1075" s="1046"/>
      <c r="F1075" s="1046"/>
      <c r="G1075" s="605"/>
      <c r="H1075" s="265"/>
      <c r="I1075" s="265"/>
    </row>
    <row r="1076" spans="1:9" ht="12.75">
      <c r="A1076" s="205"/>
      <c r="B1076" s="205"/>
      <c r="C1076" s="205"/>
      <c r="D1076" s="1046"/>
      <c r="E1076" s="1046"/>
      <c r="F1076" s="1046"/>
      <c r="G1076" s="605"/>
      <c r="H1076" s="265"/>
      <c r="I1076" s="265"/>
    </row>
    <row r="1077" spans="1:9" ht="12.75">
      <c r="A1077" s="205"/>
      <c r="B1077" s="205"/>
      <c r="C1077" s="205"/>
      <c r="D1077" s="1046"/>
      <c r="E1077" s="1046"/>
      <c r="F1077" s="1046"/>
      <c r="G1077" s="605"/>
      <c r="H1077" s="265"/>
      <c r="I1077" s="265"/>
    </row>
    <row r="1078" spans="1:9" ht="12.75">
      <c r="A1078" s="205"/>
      <c r="B1078" s="205"/>
      <c r="C1078" s="205"/>
      <c r="D1078" s="1046"/>
      <c r="E1078" s="1046"/>
      <c r="F1078" s="1046"/>
      <c r="G1078" s="605"/>
      <c r="H1078" s="265"/>
      <c r="I1078" s="265"/>
    </row>
    <row r="1079" spans="1:9" ht="12.75">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5" t="s">
        <v>1481</v>
      </c>
      <c r="E1082" s="1005"/>
      <c r="F1082" s="1005"/>
      <c r="G1082" s="415"/>
      <c r="H1082" s="265"/>
      <c r="I1082" s="265"/>
    </row>
    <row r="1083" spans="1:9" ht="12.75" customHeight="1">
      <c r="A1083" s="205"/>
      <c r="B1083" s="205"/>
      <c r="C1083" s="205"/>
      <c r="D1083" s="190"/>
      <c r="E1083" s="415"/>
      <c r="F1083" s="415"/>
      <c r="G1083" s="415"/>
      <c r="H1083" s="265"/>
      <c r="I1083" s="265"/>
    </row>
    <row r="1084" spans="1:9" ht="14.25">
      <c r="A1084" s="269"/>
      <c r="B1084" s="606" t="s">
        <v>79</v>
      </c>
      <c r="C1084" s="205"/>
      <c r="D1084" s="977" t="s">
        <v>2187</v>
      </c>
      <c r="E1084" s="985"/>
      <c r="F1084" s="985"/>
      <c r="G1084" s="186"/>
      <c r="H1084" s="265"/>
      <c r="I1084" s="265"/>
    </row>
    <row r="1085" spans="1:9" ht="12.75">
      <c r="A1085" s="205"/>
      <c r="B1085" s="205"/>
      <c r="C1085" s="205"/>
      <c r="D1085" s="985"/>
      <c r="E1085" s="985"/>
      <c r="F1085" s="985"/>
      <c r="G1085" s="186"/>
      <c r="H1085" s="265"/>
      <c r="I1085" s="265"/>
    </row>
    <row r="1086" spans="1:9" ht="12.75">
      <c r="A1086" s="205"/>
      <c r="B1086" s="205"/>
      <c r="C1086" s="205"/>
      <c r="D1086" s="985"/>
      <c r="E1086" s="985"/>
      <c r="F1086" s="985"/>
      <c r="G1086" s="186"/>
      <c r="H1086" s="265"/>
      <c r="I1086" s="265"/>
    </row>
    <row r="1087" spans="1:9" ht="12.75">
      <c r="A1087" s="205"/>
      <c r="B1087" s="205"/>
      <c r="C1087" s="205"/>
      <c r="D1087" s="985"/>
      <c r="E1087" s="985"/>
      <c r="F1087" s="985"/>
      <c r="G1087" s="186"/>
      <c r="H1087" s="265"/>
      <c r="I1087" s="265"/>
    </row>
    <row r="1088" spans="1:9" ht="12.75">
      <c r="A1088" s="205"/>
      <c r="B1088" s="205"/>
      <c r="C1088" s="205"/>
      <c r="D1088" s="186"/>
      <c r="E1088" s="186"/>
      <c r="F1088" s="186"/>
      <c r="G1088" s="186"/>
      <c r="H1088" s="265"/>
      <c r="I1088" s="265"/>
    </row>
    <row r="1089" spans="1:9" ht="14.25">
      <c r="A1089" s="269"/>
      <c r="B1089" s="606" t="s">
        <v>79</v>
      </c>
      <c r="C1089" s="205"/>
      <c r="D1089" s="977" t="s">
        <v>2188</v>
      </c>
      <c r="E1089" s="985"/>
      <c r="F1089" s="985"/>
      <c r="G1089" s="186"/>
      <c r="H1089" s="265"/>
      <c r="I1089" s="265"/>
    </row>
    <row r="1090" spans="1:9" ht="12.75">
      <c r="A1090" s="205"/>
      <c r="B1090" s="205"/>
      <c r="C1090" s="205"/>
      <c r="D1090" s="985"/>
      <c r="E1090" s="985"/>
      <c r="F1090" s="985"/>
      <c r="G1090" s="186"/>
      <c r="H1090" s="265"/>
      <c r="I1090" s="265"/>
    </row>
    <row r="1091" spans="1:9" ht="12.75">
      <c r="A1091" s="205"/>
      <c r="B1091" s="205"/>
      <c r="C1091" s="205"/>
      <c r="D1091" s="985"/>
      <c r="E1091" s="985"/>
      <c r="F1091" s="985"/>
      <c r="G1091" s="186"/>
      <c r="H1091" s="265"/>
      <c r="I1091" s="265"/>
    </row>
    <row r="1092" spans="1:9" ht="12.75">
      <c r="A1092" s="205"/>
      <c r="B1092" s="205"/>
      <c r="C1092" s="205"/>
      <c r="D1092" s="985"/>
      <c r="E1092" s="985"/>
      <c r="F1092" s="985"/>
      <c r="G1092" s="186"/>
      <c r="H1092" s="265"/>
      <c r="I1092" s="265"/>
    </row>
    <row r="1093" spans="1:9" ht="12.75">
      <c r="A1093" s="205"/>
      <c r="B1093" s="205"/>
      <c r="C1093" s="205"/>
      <c r="D1093" s="186"/>
      <c r="E1093" s="186"/>
      <c r="F1093" s="186"/>
      <c r="G1093" s="186"/>
    </row>
    <row r="1094" spans="1:9" ht="12.75">
      <c r="A1094" s="205"/>
      <c r="B1094" s="606" t="s">
        <v>79</v>
      </c>
      <c r="C1094" s="205"/>
      <c r="D1094" s="1010" t="s">
        <v>1650</v>
      </c>
      <c r="E1094" s="1010"/>
      <c r="F1094" s="1010"/>
      <c r="G1094" s="186"/>
    </row>
    <row r="1095" spans="1:9" ht="12.75">
      <c r="A1095" s="205"/>
      <c r="B1095" s="205"/>
      <c r="C1095" s="205"/>
      <c r="D1095" s="1010"/>
      <c r="E1095" s="1010"/>
      <c r="F1095" s="1010"/>
      <c r="G1095" s="186"/>
    </row>
    <row r="1096" spans="1:9" ht="12.75">
      <c r="A1096" s="205"/>
      <c r="B1096" s="205"/>
      <c r="C1096" s="205"/>
      <c r="D1096" s="1010"/>
      <c r="E1096" s="1010"/>
      <c r="F1096" s="1010"/>
      <c r="G1096" s="186"/>
    </row>
    <row r="1097" spans="1:9" ht="12.75">
      <c r="A1097" s="205"/>
      <c r="B1097" s="205"/>
      <c r="C1097" s="205"/>
      <c r="D1097" s="186"/>
      <c r="E1097" s="186"/>
      <c r="F1097" s="186"/>
      <c r="G1097" s="186"/>
    </row>
    <row r="1098" spans="1:9" ht="14.25">
      <c r="A1098" s="269"/>
      <c r="B1098" s="606" t="s">
        <v>79</v>
      </c>
      <c r="C1098" s="426"/>
      <c r="D1098" s="1040" t="s">
        <v>2138</v>
      </c>
      <c r="E1098" s="1040"/>
      <c r="F1098" s="1040"/>
      <c r="G1098" s="446"/>
    </row>
    <row r="1099" spans="1:9" ht="12.75">
      <c r="A1099" s="426"/>
      <c r="B1099" s="426"/>
      <c r="C1099" s="426"/>
      <c r="D1099" s="1040"/>
      <c r="E1099" s="1040"/>
      <c r="F1099" s="1040"/>
      <c r="G1099" s="446"/>
    </row>
    <row r="1100" spans="1:9" ht="12.75">
      <c r="A1100" s="426"/>
      <c r="B1100" s="426"/>
      <c r="C1100" s="426"/>
      <c r="D1100" s="1040"/>
      <c r="E1100" s="1040"/>
      <c r="F1100" s="1040"/>
      <c r="G1100" s="446"/>
    </row>
    <row r="1101" spans="1:9" ht="12.75">
      <c r="A1101" s="205"/>
      <c r="B1101" s="205"/>
      <c r="C1101" s="205"/>
      <c r="D1101" s="186"/>
      <c r="E1101" s="186"/>
      <c r="F1101" s="186"/>
      <c r="G1101" s="186"/>
    </row>
    <row r="1102" spans="1:9" ht="12.75">
      <c r="C1102" s="205"/>
      <c r="D1102" s="1005" t="s">
        <v>1482</v>
      </c>
      <c r="E1102" s="1005"/>
      <c r="F1102" s="1005"/>
      <c r="G1102" s="186"/>
    </row>
    <row r="1103" spans="1:9" ht="12.75">
      <c r="C1103" s="205"/>
      <c r="D1103" s="190"/>
      <c r="E1103" s="186"/>
      <c r="F1103" s="186"/>
      <c r="G1103" s="186"/>
    </row>
    <row r="1104" spans="1:9" ht="12.75">
      <c r="A1104" s="205"/>
      <c r="B1104" s="606" t="s">
        <v>79</v>
      </c>
      <c r="C1104" s="205"/>
      <c r="D1104" s="985" t="s">
        <v>1651</v>
      </c>
      <c r="E1104" s="985"/>
      <c r="F1104" s="985"/>
      <c r="G1104" s="186"/>
    </row>
    <row r="1105" spans="1:7" ht="12.75">
      <c r="A1105" s="205"/>
      <c r="B1105" s="205"/>
      <c r="C1105" s="205"/>
      <c r="D1105" s="985"/>
      <c r="E1105" s="985"/>
      <c r="F1105" s="985"/>
      <c r="G1105" s="186"/>
    </row>
    <row r="1106" spans="1:7" ht="12.75">
      <c r="A1106" s="205"/>
      <c r="B1106" s="205"/>
      <c r="C1106" s="205"/>
      <c r="D1106" s="985"/>
      <c r="E1106" s="985"/>
      <c r="F1106" s="985"/>
      <c r="G1106" s="186"/>
    </row>
    <row r="1107" spans="1:7" ht="12.75">
      <c r="A1107" s="205"/>
      <c r="B1107" s="205"/>
      <c r="C1107" s="205"/>
      <c r="D1107" s="186"/>
      <c r="E1107" s="186"/>
      <c r="F1107" s="186"/>
      <c r="G1107" s="186"/>
    </row>
    <row r="1108" spans="1:7" ht="14.25">
      <c r="A1108" s="269"/>
      <c r="B1108" s="606" t="s">
        <v>79</v>
      </c>
      <c r="C1108" s="205"/>
      <c r="D1108" s="985" t="s">
        <v>1652</v>
      </c>
      <c r="E1108" s="985"/>
      <c r="F1108" s="985"/>
      <c r="G1108" s="186"/>
    </row>
    <row r="1109" spans="1:7" ht="12.75">
      <c r="A1109" s="205"/>
      <c r="B1109" s="205"/>
      <c r="C1109" s="205"/>
      <c r="D1109" s="985"/>
      <c r="E1109" s="985"/>
      <c r="F1109" s="985"/>
      <c r="G1109" s="186"/>
    </row>
    <row r="1110" spans="1:7" ht="12.75">
      <c r="A1110" s="205"/>
      <c r="B1110" s="205"/>
      <c r="C1110" s="205"/>
      <c r="D1110" s="985"/>
      <c r="E1110" s="985"/>
      <c r="F1110" s="985"/>
      <c r="G1110" s="186"/>
    </row>
    <row r="1111" spans="1:7" ht="12.75">
      <c r="A1111" s="205"/>
      <c r="B1111" s="205"/>
      <c r="C1111" s="205"/>
      <c r="D1111" s="186"/>
      <c r="E1111" s="186"/>
      <c r="F1111" s="186"/>
      <c r="G1111" s="186"/>
    </row>
    <row r="1112" spans="1:7" ht="12.75">
      <c r="A1112" s="205"/>
      <c r="B1112" s="205"/>
      <c r="C1112" s="205"/>
      <c r="D1112" s="1005" t="s">
        <v>1117</v>
      </c>
      <c r="E1112" s="1005"/>
      <c r="F1112" s="1005"/>
      <c r="G1112" s="186"/>
    </row>
    <row r="1113" spans="1:7" ht="12.75">
      <c r="A1113" s="205"/>
      <c r="B1113" s="205"/>
      <c r="C1113" s="205"/>
      <c r="D1113" s="1004" t="s">
        <v>1483</v>
      </c>
      <c r="E1113" s="1004"/>
      <c r="F1113" s="1004"/>
      <c r="G1113" s="186"/>
    </row>
    <row r="1114" spans="1:7" ht="12.75">
      <c r="A1114" s="205"/>
      <c r="B1114" s="205"/>
      <c r="C1114" s="205"/>
      <c r="D1114" s="416"/>
      <c r="E1114" s="186"/>
      <c r="F1114" s="186"/>
      <c r="G1114" s="186"/>
    </row>
    <row r="1115" spans="1:7" ht="14.25">
      <c r="A1115" s="269"/>
      <c r="B1115" s="606" t="s">
        <v>79</v>
      </c>
      <c r="C1115" s="205"/>
      <c r="D1115" s="985" t="s">
        <v>1653</v>
      </c>
      <c r="E1115" s="985"/>
      <c r="F1115" s="985"/>
      <c r="G1115" s="186"/>
    </row>
    <row r="1116" spans="1:7" ht="12.75">
      <c r="A1116" s="205"/>
      <c r="B1116" s="205"/>
      <c r="C1116" s="205"/>
      <c r="D1116" s="985"/>
      <c r="E1116" s="985"/>
      <c r="F1116" s="985"/>
      <c r="G1116" s="186"/>
    </row>
    <row r="1117" spans="1:7" ht="12.75">
      <c r="A1117" s="205"/>
      <c r="B1117" s="205"/>
      <c r="C1117" s="205"/>
      <c r="D1117" s="186"/>
      <c r="E1117" s="186"/>
      <c r="F1117" s="186"/>
      <c r="G1117" s="186"/>
    </row>
    <row r="1118" spans="1:7" ht="14.25">
      <c r="A1118" s="269"/>
      <c r="B1118" s="606" t="s">
        <v>79</v>
      </c>
      <c r="C1118" s="205"/>
      <c r="D1118" s="985" t="s">
        <v>1654</v>
      </c>
      <c r="E1118" s="985"/>
      <c r="F1118" s="985"/>
      <c r="G1118" s="186"/>
    </row>
    <row r="1119" spans="1:7" ht="12.75">
      <c r="A1119" s="205"/>
      <c r="B1119" s="205"/>
      <c r="C1119" s="205"/>
      <c r="D1119" s="985"/>
      <c r="E1119" s="985"/>
      <c r="F1119" s="985"/>
      <c r="G1119" s="186"/>
    </row>
    <row r="1120" spans="1:7" ht="12.75">
      <c r="A1120" s="205"/>
      <c r="B1120" s="205"/>
      <c r="C1120" s="205"/>
      <c r="E1120" s="186"/>
      <c r="F1120" s="186"/>
      <c r="G1120" s="186"/>
    </row>
    <row r="1121" spans="1:7" ht="12.75">
      <c r="A1121" s="205"/>
      <c r="B1121" s="205"/>
      <c r="C1121" s="205"/>
      <c r="D1121" s="1005" t="s">
        <v>1484</v>
      </c>
      <c r="E1121" s="1005"/>
      <c r="F1121" s="1005"/>
      <c r="G1121" s="186"/>
    </row>
    <row r="1122" spans="1:7" ht="12.75">
      <c r="A1122" s="205"/>
      <c r="B1122" s="205"/>
      <c r="C1122" s="205"/>
      <c r="D1122" s="190"/>
      <c r="E1122" s="186"/>
      <c r="F1122" s="186"/>
      <c r="G1122" s="186"/>
    </row>
    <row r="1123" spans="1:7" ht="14.25">
      <c r="A1123" s="269"/>
      <c r="B1123" s="606" t="s">
        <v>79</v>
      </c>
      <c r="C1123" s="205"/>
      <c r="D1123" s="985" t="s">
        <v>1655</v>
      </c>
      <c r="E1123" s="985"/>
      <c r="F1123" s="985"/>
      <c r="G1123" s="186"/>
    </row>
    <row r="1124" spans="1:7" ht="12.75">
      <c r="A1124" s="205"/>
      <c r="B1124" s="205"/>
      <c r="C1124" s="205"/>
      <c r="D1124" s="985"/>
      <c r="E1124" s="985"/>
      <c r="F1124" s="985"/>
      <c r="G1124" s="186"/>
    </row>
    <row r="1125" spans="1:7" ht="12.75">
      <c r="A1125" s="205"/>
      <c r="B1125" s="205"/>
      <c r="C1125" s="205"/>
      <c r="D1125" s="985"/>
      <c r="E1125" s="985"/>
      <c r="F1125" s="985"/>
      <c r="G1125" s="186"/>
    </row>
    <row r="1126" spans="1:7" ht="12.75">
      <c r="A1126" s="205"/>
      <c r="B1126" s="205"/>
      <c r="C1126" s="205"/>
      <c r="D1126" s="985"/>
      <c r="E1126" s="985"/>
      <c r="F1126" s="985"/>
      <c r="G1126" s="186"/>
    </row>
    <row r="1127" spans="1:7" ht="12.75">
      <c r="A1127" s="205"/>
      <c r="B1127" s="205"/>
      <c r="C1127" s="205"/>
      <c r="D1127" s="985"/>
      <c r="E1127" s="985"/>
      <c r="F1127" s="985"/>
      <c r="G1127" s="186"/>
    </row>
    <row r="1128" spans="1:7" ht="12.75">
      <c r="A1128" s="205"/>
      <c r="B1128" s="205"/>
      <c r="C1128" s="205"/>
      <c r="D1128" s="985"/>
      <c r="E1128" s="985"/>
      <c r="F1128" s="985"/>
      <c r="G1128" s="186"/>
    </row>
    <row r="1129" spans="1:7" ht="12.75">
      <c r="A1129" s="205"/>
      <c r="B1129" s="205"/>
      <c r="C1129" s="205"/>
      <c r="D1129" s="985"/>
      <c r="E1129" s="985"/>
      <c r="F1129" s="985"/>
      <c r="G1129" s="186"/>
    </row>
    <row r="1130" spans="1:7" ht="12.75">
      <c r="A1130" s="205"/>
      <c r="B1130" s="205"/>
      <c r="C1130" s="205"/>
      <c r="D1130" s="186"/>
      <c r="E1130" s="186"/>
      <c r="F1130" s="186"/>
      <c r="G1130" s="186"/>
    </row>
    <row r="1131" spans="1:7" ht="14.25">
      <c r="A1131" s="269"/>
      <c r="B1131" s="606" t="s">
        <v>79</v>
      </c>
      <c r="C1131" s="205"/>
      <c r="D1131" s="985" t="s">
        <v>1656</v>
      </c>
      <c r="E1131" s="985"/>
      <c r="F1131" s="985"/>
      <c r="G1131" s="186"/>
    </row>
    <row r="1132" spans="1:7" ht="12.75">
      <c r="A1132" s="205"/>
      <c r="B1132" s="205"/>
      <c r="C1132" s="205"/>
      <c r="D1132" s="985"/>
      <c r="E1132" s="985"/>
      <c r="F1132" s="985"/>
      <c r="G1132" s="186"/>
    </row>
    <row r="1133" spans="1:7" ht="12.75">
      <c r="A1133" s="205"/>
      <c r="B1133" s="205"/>
      <c r="C1133" s="205"/>
      <c r="D1133" s="985"/>
      <c r="E1133" s="985"/>
      <c r="F1133" s="985"/>
      <c r="G1133" s="186"/>
    </row>
    <row r="1134" spans="1:7" ht="12.75">
      <c r="A1134" s="205"/>
      <c r="B1134" s="205"/>
      <c r="C1134" s="205"/>
      <c r="D1134" s="985"/>
      <c r="E1134" s="985"/>
      <c r="F1134" s="985"/>
      <c r="G1134" s="186"/>
    </row>
    <row r="1135" spans="1:7" ht="12.75">
      <c r="A1135" s="205"/>
      <c r="B1135" s="205"/>
      <c r="C1135" s="205"/>
      <c r="D1135" s="985"/>
      <c r="E1135" s="985"/>
      <c r="F1135" s="985"/>
      <c r="G1135" s="186"/>
    </row>
    <row r="1136" spans="1:7" ht="12.75">
      <c r="A1136" s="205"/>
      <c r="B1136" s="205"/>
      <c r="C1136" s="205"/>
      <c r="D1136" s="985"/>
      <c r="E1136" s="985"/>
      <c r="F1136" s="985"/>
      <c r="G1136" s="186"/>
    </row>
    <row r="1137" spans="1:7" ht="12.75">
      <c r="A1137" s="205"/>
      <c r="B1137" s="205"/>
      <c r="C1137" s="205"/>
      <c r="D1137" s="985"/>
      <c r="E1137" s="985"/>
      <c r="F1137" s="985"/>
      <c r="G1137" s="186"/>
    </row>
    <row r="1138" spans="1:7" ht="12.75">
      <c r="A1138" s="205"/>
      <c r="B1138" s="205"/>
      <c r="C1138" s="205"/>
      <c r="D1138" s="24"/>
      <c r="E1138" s="24"/>
      <c r="F1138" s="24"/>
      <c r="G1138" s="186"/>
    </row>
    <row r="1139" spans="1:7" ht="12.4" customHeight="1">
      <c r="A1139" s="205"/>
      <c r="B1139" s="606" t="s">
        <v>79</v>
      </c>
      <c r="C1139" s="205"/>
      <c r="D1139" s="1009" t="s">
        <v>1760</v>
      </c>
      <c r="E1139" s="1010"/>
      <c r="F1139" s="1010"/>
      <c r="G1139" s="186"/>
    </row>
    <row r="1140" spans="1:7" ht="12.4" customHeight="1">
      <c r="A1140" s="205"/>
      <c r="B1140" s="205"/>
      <c r="C1140" s="205"/>
      <c r="D1140" s="1010"/>
      <c r="E1140" s="1010"/>
      <c r="F1140" s="1010"/>
      <c r="G1140" s="186"/>
    </row>
    <row r="1141" spans="1:7" ht="12.75">
      <c r="A1141" s="205"/>
      <c r="B1141" s="205"/>
      <c r="C1141" s="205"/>
      <c r="D1141" s="1010"/>
      <c r="E1141" s="1010"/>
      <c r="F1141" s="1010"/>
      <c r="G1141" s="186"/>
    </row>
    <row r="1142" spans="1:7" ht="12.75">
      <c r="A1142" s="205"/>
      <c r="B1142" s="205"/>
      <c r="C1142" s="205"/>
      <c r="D1142" s="650"/>
      <c r="E1142" s="650"/>
      <c r="F1142" s="650"/>
      <c r="G1142" s="186"/>
    </row>
    <row r="1143" spans="1:7" ht="12.75">
      <c r="D1143" s="1005" t="s">
        <v>1485</v>
      </c>
      <c r="E1143" s="1005"/>
      <c r="F1143" s="1005"/>
    </row>
    <row r="1144" spans="1:7" ht="12.75">
      <c r="D1144" s="190"/>
    </row>
    <row r="1145" spans="1:7" ht="14.25">
      <c r="A1145" s="269"/>
      <c r="B1145" s="606" t="s">
        <v>79</v>
      </c>
      <c r="D1145" s="985" t="s">
        <v>1657</v>
      </c>
      <c r="E1145" s="985"/>
      <c r="F1145" s="985"/>
    </row>
    <row r="1146" spans="1:7" ht="12.75">
      <c r="D1146" s="985"/>
      <c r="E1146" s="985"/>
      <c r="F1146" s="985"/>
    </row>
    <row r="1147" spans="1:7" ht="12.75"/>
    <row r="1148" spans="1:7" ht="14.25">
      <c r="A1148" s="269"/>
      <c r="B1148" s="606" t="s">
        <v>79</v>
      </c>
      <c r="D1148" s="985" t="s">
        <v>1658</v>
      </c>
      <c r="E1148" s="985"/>
      <c r="F1148" s="985"/>
    </row>
    <row r="1149" spans="1:7" ht="12.75">
      <c r="D1149" s="985"/>
      <c r="E1149" s="985"/>
      <c r="F1149" s="985"/>
    </row>
    <row r="1150" spans="1:7" ht="12.75"/>
    <row r="1151" spans="1:7" ht="12.75">
      <c r="D1151" s="1005" t="s">
        <v>1486</v>
      </c>
      <c r="E1151" s="1005"/>
      <c r="F1151" s="1005"/>
    </row>
    <row r="1152" spans="1:7" ht="12.75">
      <c r="D1152" s="190"/>
    </row>
    <row r="1153" spans="1:7" ht="14.25">
      <c r="A1153" s="269"/>
      <c r="B1153" s="606" t="s">
        <v>79</v>
      </c>
      <c r="D1153" s="1004" t="s">
        <v>1659</v>
      </c>
      <c r="E1153" s="1004"/>
      <c r="F1153" s="1004"/>
    </row>
    <row r="1154" spans="1:7" ht="12.75"/>
    <row r="1155" spans="1:7" ht="14.25">
      <c r="A1155" s="269"/>
      <c r="B1155" s="606" t="s">
        <v>79</v>
      </c>
      <c r="D1155" s="985" t="s">
        <v>1660</v>
      </c>
      <c r="E1155" s="985"/>
      <c r="F1155" s="985"/>
    </row>
    <row r="1156" spans="1:7" ht="14.25">
      <c r="A1156" s="269"/>
      <c r="B1156" s="269"/>
      <c r="D1156" s="985"/>
      <c r="E1156" s="985"/>
      <c r="F1156" s="985"/>
    </row>
    <row r="1157" spans="1:7" ht="14.25">
      <c r="A1157" s="269"/>
      <c r="B1157" s="269"/>
      <c r="D1157" s="24"/>
      <c r="E1157" s="24"/>
      <c r="F1157" s="24"/>
      <c r="G1157"/>
    </row>
    <row r="1158" spans="1:7" ht="12.75">
      <c r="D1158" s="1005" t="s">
        <v>1670</v>
      </c>
      <c r="E1158" s="1005"/>
      <c r="F1158" s="1005"/>
      <c r="G1158"/>
    </row>
    <row r="1159" spans="1:7" ht="12.75">
      <c r="D1159" s="190"/>
      <c r="G1159"/>
    </row>
    <row r="1160" spans="1:7" ht="14.45" customHeight="1">
      <c r="A1160" s="269"/>
      <c r="B1160" s="606" t="s">
        <v>79</v>
      </c>
      <c r="D1160" s="977" t="s">
        <v>2189</v>
      </c>
      <c r="E1160" s="985"/>
      <c r="F1160" s="985"/>
      <c r="G1160"/>
    </row>
    <row r="1161" spans="1:7" ht="14.25">
      <c r="A1161" s="269"/>
      <c r="B1161" s="269"/>
      <c r="D1161" s="985"/>
      <c r="E1161" s="985"/>
      <c r="F1161" s="985"/>
      <c r="G1161"/>
    </row>
    <row r="1162" spans="1:7" ht="14.25">
      <c r="A1162" s="269"/>
      <c r="B1162" s="269"/>
      <c r="D1162" s="985"/>
      <c r="E1162" s="985"/>
      <c r="F1162" s="985"/>
      <c r="G1162"/>
    </row>
    <row r="1163" spans="1:7" ht="14.25">
      <c r="A1163" s="269"/>
      <c r="B1163" s="269"/>
      <c r="D1163" s="985"/>
      <c r="E1163" s="985"/>
      <c r="F1163" s="985"/>
      <c r="G1163"/>
    </row>
    <row r="1164" spans="1:7" ht="14.25">
      <c r="A1164" s="269"/>
      <c r="B1164" s="269"/>
      <c r="D1164" s="985"/>
      <c r="E1164" s="985"/>
      <c r="F1164" s="985"/>
      <c r="G1164"/>
    </row>
    <row r="1165" spans="1:7" ht="14.25">
      <c r="A1165" s="269"/>
      <c r="B1165" s="269"/>
      <c r="D1165" s="985"/>
      <c r="E1165" s="985"/>
      <c r="F1165" s="985"/>
      <c r="G1165"/>
    </row>
    <row r="1166" spans="1:7" ht="14.25">
      <c r="A1166" s="269"/>
      <c r="B1166" s="269"/>
      <c r="D1166" s="985"/>
      <c r="E1166" s="985"/>
      <c r="F1166" s="985"/>
      <c r="G1166"/>
    </row>
    <row r="1167" spans="1:7" ht="14.25">
      <c r="A1167" s="269"/>
      <c r="B1167" s="269"/>
      <c r="D1167" s="985"/>
      <c r="E1167" s="985"/>
      <c r="F1167" s="985"/>
      <c r="G1167"/>
    </row>
    <row r="1168" spans="1:7" ht="14.25">
      <c r="A1168" s="269"/>
      <c r="B1168" s="269"/>
      <c r="D1168" s="985"/>
      <c r="E1168" s="985"/>
      <c r="F1168" s="985"/>
      <c r="G1168"/>
    </row>
    <row r="1169" spans="1:7" ht="14.25">
      <c r="A1169" s="269"/>
      <c r="B1169" s="269"/>
      <c r="D1169" s="985"/>
      <c r="E1169" s="985"/>
      <c r="F1169" s="985"/>
      <c r="G1169"/>
    </row>
    <row r="1170" spans="1:7" ht="14.25">
      <c r="A1170" s="269"/>
      <c r="B1170" s="269"/>
      <c r="D1170" s="985"/>
      <c r="E1170" s="985"/>
      <c r="F1170" s="985"/>
      <c r="G1170"/>
    </row>
    <row r="1171" spans="1:7" ht="14.25">
      <c r="A1171" s="269"/>
      <c r="B1171" s="269"/>
      <c r="D1171" s="985"/>
      <c r="E1171" s="985"/>
      <c r="F1171" s="985"/>
      <c r="G1171"/>
    </row>
    <row r="1172" spans="1:7" ht="14.25">
      <c r="A1172" s="269"/>
      <c r="B1172" s="269"/>
      <c r="D1172" s="985"/>
      <c r="E1172" s="985"/>
      <c r="F1172" s="985"/>
      <c r="G1172"/>
    </row>
    <row r="1173" spans="1:7" ht="38.25" customHeight="1">
      <c r="A1173" s="269"/>
      <c r="B1173" s="269"/>
      <c r="D1173" s="985"/>
      <c r="E1173" s="985"/>
      <c r="F1173" s="985"/>
    </row>
    <row r="1174" spans="1:7" ht="12.75"/>
    <row r="1175" spans="1:7" ht="12.75">
      <c r="A1175" s="1038" t="s">
        <v>1403</v>
      </c>
      <c r="B1175" s="1038"/>
      <c r="C1175" s="1038"/>
      <c r="D1175" s="1038"/>
      <c r="E1175" s="1038"/>
      <c r="F1175" s="1038"/>
      <c r="G1175" s="1038"/>
    </row>
    <row r="1176" spans="1:7" ht="12.75">
      <c r="A1176" s="44"/>
      <c r="B1176" s="44"/>
    </row>
    <row r="1177" spans="1:7" ht="12.75">
      <c r="C1177" s="205"/>
      <c r="D1177" s="1005" t="s">
        <v>1661</v>
      </c>
      <c r="E1177" s="1005"/>
      <c r="F1177" s="1005"/>
    </row>
    <row r="1178" spans="1:7" ht="12.75">
      <c r="A1178" s="188"/>
      <c r="B1178" s="188"/>
      <c r="C1178" s="188"/>
      <c r="D1178" s="1006" t="s">
        <v>1490</v>
      </c>
      <c r="E1178" s="1004"/>
      <c r="F1178" s="1004"/>
    </row>
    <row r="1179" spans="1:7" ht="12.75">
      <c r="A1179" s="188"/>
      <c r="B1179" s="188"/>
      <c r="C1179" s="188"/>
      <c r="F1179" s="186"/>
      <c r="G1179"/>
    </row>
    <row r="1180" spans="1:7" ht="13.7" customHeight="1">
      <c r="B1180" s="606" t="s">
        <v>79</v>
      </c>
      <c r="D1180" s="1059" t="s">
        <v>2079</v>
      </c>
      <c r="E1180" s="1059"/>
      <c r="F1180" s="1059"/>
      <c r="G1180"/>
    </row>
    <row r="1181" spans="1:7" ht="12.75">
      <c r="D1181" s="1059"/>
      <c r="E1181" s="1059"/>
      <c r="F1181" s="1059"/>
      <c r="G1181"/>
    </row>
    <row r="1182" spans="1:7" ht="12.75">
      <c r="D1182" s="15"/>
      <c r="E1182" s="923" t="s">
        <v>2080</v>
      </c>
      <c r="F1182" s="15"/>
      <c r="G1182"/>
    </row>
    <row r="1183" spans="1:7" ht="12.75">
      <c r="D1183" s="15"/>
      <c r="E1183" s="15"/>
      <c r="F1183" s="15"/>
      <c r="G1183"/>
    </row>
    <row r="1184" spans="1:7" ht="12.75">
      <c r="D1184" s="980" t="s">
        <v>2078</v>
      </c>
      <c r="E1184" s="980"/>
      <c r="F1184" s="980"/>
      <c r="G1184"/>
    </row>
    <row r="1185" spans="1:7" ht="12.75">
      <c r="A1185" s="189"/>
      <c r="B1185" s="189"/>
      <c r="C1185" s="189"/>
      <c r="D1185" s="980"/>
      <c r="E1185" s="980"/>
      <c r="F1185" s="980"/>
      <c r="G1185"/>
    </row>
    <row r="1186" spans="1:7" ht="14.45" customHeight="1">
      <c r="A1186" s="189"/>
      <c r="B1186" s="189"/>
      <c r="C1186" s="189"/>
      <c r="D1186" s="980"/>
      <c r="E1186" s="980"/>
      <c r="F1186" s="980"/>
      <c r="G1186"/>
    </row>
    <row r="1187" spans="1:7" ht="12.75">
      <c r="A1187" s="189"/>
      <c r="B1187" s="189"/>
      <c r="C1187" s="189"/>
      <c r="D1187" s="104"/>
      <c r="E1187" s="104"/>
      <c r="F1187" s="104"/>
      <c r="G1187"/>
    </row>
    <row r="1188" spans="1:7" ht="12.75">
      <c r="A1188" s="189"/>
      <c r="B1188" s="606" t="s">
        <v>79</v>
      </c>
      <c r="C1188" s="189"/>
      <c r="D1188" s="985" t="s">
        <v>1671</v>
      </c>
      <c r="E1188" s="985"/>
      <c r="F1188" s="985"/>
      <c r="G1188"/>
    </row>
    <row r="1189" spans="1:7" ht="12.75">
      <c r="A1189" s="189"/>
      <c r="B1189" s="189"/>
      <c r="C1189" s="189"/>
      <c r="D1189" s="985"/>
      <c r="E1189" s="985"/>
      <c r="F1189" s="985"/>
      <c r="G1189"/>
    </row>
    <row r="1190" spans="1:7" ht="12.75">
      <c r="A1190" s="189"/>
      <c r="B1190" s="189"/>
      <c r="C1190" s="189"/>
      <c r="D1190" s="985"/>
      <c r="E1190" s="985"/>
      <c r="F1190" s="985"/>
      <c r="G1190"/>
    </row>
    <row r="1191" spans="1:7" ht="12.75">
      <c r="A1191" s="189"/>
      <c r="B1191" s="189"/>
      <c r="C1191" s="189"/>
      <c r="D1191" s="985"/>
      <c r="E1191" s="985"/>
      <c r="F1191" s="985"/>
      <c r="G1191"/>
    </row>
    <row r="1192" spans="1:7" ht="12.75">
      <c r="A1192" s="189"/>
      <c r="B1192" s="189"/>
      <c r="C1192" s="189"/>
      <c r="D1192" s="24"/>
      <c r="E1192" s="24"/>
      <c r="F1192" s="24"/>
      <c r="G1192"/>
    </row>
    <row r="1193" spans="1:7" ht="12.75">
      <c r="A1193" s="189"/>
      <c r="B1193" s="606" t="s">
        <v>79</v>
      </c>
      <c r="C1193" s="189"/>
      <c r="D1193" s="977" t="s">
        <v>2296</v>
      </c>
      <c r="E1193" s="985"/>
      <c r="F1193" s="985"/>
      <c r="G1193"/>
    </row>
    <row r="1194" spans="1:7" ht="12.75">
      <c r="A1194" s="189"/>
      <c r="B1194" s="189"/>
      <c r="C1194" s="189"/>
      <c r="D1194" s="985"/>
      <c r="E1194" s="985"/>
      <c r="F1194" s="985"/>
      <c r="G1194"/>
    </row>
    <row r="1195" spans="1:7" ht="12.75">
      <c r="A1195" s="189"/>
      <c r="B1195" s="189"/>
      <c r="C1195" s="189"/>
      <c r="D1195" s="24"/>
      <c r="E1195" s="24"/>
      <c r="F1195" s="24"/>
      <c r="G1195"/>
    </row>
    <row r="1196" spans="1:7" ht="14.25">
      <c r="A1196" s="269"/>
      <c r="B1196" s="606" t="s">
        <v>79</v>
      </c>
      <c r="D1196" s="1004" t="s">
        <v>1662</v>
      </c>
      <c r="E1196" s="1004"/>
      <c r="F1196" s="1004"/>
      <c r="G1196"/>
    </row>
    <row r="1197" spans="1:7" ht="12.75">
      <c r="G1197"/>
    </row>
    <row r="1198" spans="1:7" ht="14.25">
      <c r="A1198" s="269"/>
      <c r="B1198" s="606" t="s">
        <v>79</v>
      </c>
      <c r="D1198" s="1004" t="s">
        <v>1663</v>
      </c>
      <c r="E1198" s="1004"/>
      <c r="F1198" s="1004"/>
      <c r="G1198"/>
    </row>
    <row r="1199" spans="1:7" ht="12.75">
      <c r="D1199" s="44"/>
      <c r="G1199"/>
    </row>
    <row r="1200" spans="1:7" ht="14.25">
      <c r="A1200" s="269"/>
      <c r="B1200" s="606" t="s">
        <v>79</v>
      </c>
      <c r="D1200" s="1004" t="s">
        <v>1664</v>
      </c>
      <c r="E1200" s="1004"/>
      <c r="F1200" s="1004"/>
      <c r="G1200"/>
    </row>
    <row r="1201" spans="1:7" ht="12.75">
      <c r="D1201" s="44"/>
      <c r="G1201"/>
    </row>
    <row r="1202" spans="1:7" ht="14.25">
      <c r="A1202" s="269"/>
      <c r="B1202" s="606" t="s">
        <v>79</v>
      </c>
      <c r="D1202" s="985" t="s">
        <v>1665</v>
      </c>
      <c r="E1202" s="985"/>
      <c r="F1202" s="985"/>
      <c r="G1202"/>
    </row>
    <row r="1203" spans="1:7" ht="14.25">
      <c r="A1203" s="269"/>
      <c r="B1203" s="269"/>
      <c r="D1203" s="985"/>
      <c r="E1203" s="985"/>
      <c r="F1203" s="985"/>
      <c r="G1203"/>
    </row>
    <row r="1204" spans="1:7" ht="14.25">
      <c r="A1204" s="269"/>
      <c r="B1204" s="269"/>
      <c r="D1204" s="44"/>
    </row>
    <row r="1205" spans="1:7" s="445" customFormat="1" ht="14.25">
      <c r="A1205" s="287"/>
      <c r="B1205" s="606" t="s">
        <v>79</v>
      </c>
      <c r="C1205" s="288"/>
      <c r="D1205" s="1002" t="s">
        <v>1666</v>
      </c>
      <c r="E1205" s="1002"/>
      <c r="F1205" s="1002"/>
      <c r="G1205" s="290"/>
    </row>
    <row r="1206" spans="1:7" s="445" customFormat="1" ht="12.75">
      <c r="A1206" s="288"/>
      <c r="B1206" s="288"/>
      <c r="C1206" s="288"/>
      <c r="D1206" s="1002"/>
      <c r="E1206" s="1002"/>
      <c r="F1206" s="1002"/>
      <c r="G1206" s="290"/>
    </row>
    <row r="1207" spans="1:7" s="445" customFormat="1" ht="12.75">
      <c r="A1207" s="288"/>
      <c r="B1207" s="288"/>
      <c r="C1207" s="288"/>
      <c r="D1207" s="289"/>
      <c r="E1207" s="290"/>
      <c r="F1207" s="290"/>
      <c r="G1207" s="290"/>
    </row>
    <row r="1208" spans="1:7" s="445" customFormat="1" ht="14.25">
      <c r="A1208" s="287"/>
      <c r="B1208" s="606" t="s">
        <v>79</v>
      </c>
      <c r="C1208" s="288"/>
      <c r="D1208" s="1003" t="s">
        <v>1667</v>
      </c>
      <c r="E1208" s="1003"/>
      <c r="F1208" s="1003"/>
      <c r="G1208" s="290"/>
    </row>
    <row r="1209" spans="1:7" s="445" customFormat="1" ht="12.75">
      <c r="A1209" s="288"/>
      <c r="B1209" s="288"/>
      <c r="C1209" s="288"/>
      <c r="D1209" s="289"/>
      <c r="E1209" s="290"/>
      <c r="F1209" s="290"/>
      <c r="G1209" s="290"/>
    </row>
    <row r="1210" spans="1:7" ht="14.25">
      <c r="A1210" s="269"/>
      <c r="B1210" s="606" t="s">
        <v>79</v>
      </c>
      <c r="D1210" s="1004" t="s">
        <v>1668</v>
      </c>
      <c r="E1210" s="1004"/>
      <c r="F1210" s="1004"/>
    </row>
    <row r="1211" spans="1:7" ht="14.25">
      <c r="A1211" s="269"/>
      <c r="B1211" s="269"/>
      <c r="D1211" s="44"/>
    </row>
    <row r="1212" spans="1:7" ht="14.25">
      <c r="A1212" s="269"/>
      <c r="B1212" s="606" t="s">
        <v>79</v>
      </c>
      <c r="D1212" s="985" t="s">
        <v>1669</v>
      </c>
      <c r="E1212" s="985"/>
      <c r="F1212" s="985"/>
    </row>
    <row r="1213" spans="1:7" ht="14.25">
      <c r="A1213" s="269"/>
      <c r="B1213" s="269"/>
      <c r="D1213" s="985"/>
      <c r="E1213" s="985"/>
      <c r="F1213" s="985"/>
    </row>
    <row r="1214" spans="1:7" ht="12.75"/>
    <row r="1215" spans="1:7" ht="12.75">
      <c r="A1215" s="1038" t="s">
        <v>1998</v>
      </c>
      <c r="B1215" s="1038"/>
      <c r="C1215" s="1038"/>
      <c r="D1215" s="1038"/>
      <c r="E1215" s="1038"/>
      <c r="F1215" s="1038"/>
      <c r="G1215" s="1038"/>
    </row>
    <row r="1216" spans="1:7" ht="12.75"/>
    <row r="1217" spans="1:7" ht="12.75">
      <c r="A1217" s="1038" t="s">
        <v>1404</v>
      </c>
      <c r="B1217" s="1038"/>
      <c r="C1217" s="1038"/>
      <c r="D1217" s="1038"/>
      <c r="E1217" s="1038"/>
      <c r="F1217" s="1038"/>
      <c r="G1217" s="1038"/>
    </row>
    <row r="1218" spans="1:7" ht="12.75"/>
    <row r="1219" spans="1:7" ht="12.75">
      <c r="D1219" s="1008" t="s">
        <v>1509</v>
      </c>
      <c r="E1219" s="1008"/>
      <c r="F1219" s="1008"/>
    </row>
    <row r="1220" spans="1:7" ht="12.75">
      <c r="D1220" s="1043" t="s">
        <v>1905</v>
      </c>
      <c r="E1220" s="1043"/>
      <c r="F1220" s="1043"/>
    </row>
    <row r="1221" spans="1:7" ht="12.75">
      <c r="A1221" s="188"/>
      <c r="B1221" s="188"/>
      <c r="C1221" s="188"/>
    </row>
    <row r="1222" spans="1:7" ht="14.25">
      <c r="A1222" s="269"/>
      <c r="B1222" s="269"/>
      <c r="C1222" s="189"/>
      <c r="D1222" s="1008" t="s">
        <v>1510</v>
      </c>
      <c r="E1222" s="1008"/>
      <c r="F1222" s="1008"/>
    </row>
    <row r="1223" spans="1:7" ht="12.75">
      <c r="B1223" s="606" t="s">
        <v>79</v>
      </c>
      <c r="D1223" s="1003" t="s">
        <v>1511</v>
      </c>
      <c r="E1223" s="1003"/>
      <c r="F1223" s="1003"/>
    </row>
    <row r="1224" spans="1:7" ht="12.75">
      <c r="D1224" s="1043" t="s">
        <v>1906</v>
      </c>
      <c r="E1224" s="1043"/>
      <c r="F1224" s="1043"/>
    </row>
    <row r="1225" spans="1:7" ht="12.75">
      <c r="G1225"/>
    </row>
    <row r="1226" spans="1:7" ht="12.75" customHeight="1">
      <c r="B1226" s="606" t="s">
        <v>79</v>
      </c>
      <c r="D1226" s="1027" t="s">
        <v>1823</v>
      </c>
      <c r="E1226" s="1027"/>
      <c r="F1226" s="1027"/>
      <c r="G1226"/>
    </row>
    <row r="1227" spans="1:7" ht="12.75">
      <c r="D1227" s="1027"/>
      <c r="E1227" s="1027"/>
      <c r="F1227" s="1027"/>
      <c r="G1227"/>
    </row>
    <row r="1228" spans="1:7" ht="12.75">
      <c r="G1228"/>
    </row>
    <row r="1229" spans="1:7" ht="12.75" customHeight="1"/>
    <row r="1230" spans="1:7" ht="12.75">
      <c r="A1230" s="1038" t="s">
        <v>1406</v>
      </c>
      <c r="B1230" s="1038"/>
      <c r="C1230" s="1038"/>
      <c r="D1230" s="1038"/>
      <c r="E1230" s="1038"/>
      <c r="F1230" s="1038"/>
      <c r="G1230" s="1038"/>
    </row>
    <row r="1231" spans="1:7" ht="12.75">
      <c r="A1231" s="44"/>
      <c r="B1231" s="44"/>
    </row>
    <row r="1232" spans="1:7" ht="12.75" customHeight="1">
      <c r="A1232" s="44"/>
      <c r="B1232" s="44"/>
      <c r="D1232" s="1005" t="s">
        <v>1405</v>
      </c>
      <c r="E1232" s="1005"/>
      <c r="F1232" s="1005"/>
    </row>
    <row r="1233" spans="1:7" ht="12.75" customHeight="1">
      <c r="A1233" s="44"/>
      <c r="B1233" s="44"/>
      <c r="D1233" s="1004" t="s">
        <v>1412</v>
      </c>
      <c r="E1233" s="1004"/>
      <c r="F1233" s="1004"/>
    </row>
    <row r="1234" spans="1:7" ht="12.75" customHeight="1">
      <c r="A1234" s="44"/>
      <c r="B1234" s="44"/>
    </row>
    <row r="1235" spans="1:7" ht="14.25">
      <c r="A1235" s="269"/>
      <c r="B1235" s="606" t="s">
        <v>79</v>
      </c>
      <c r="D1235" s="1014" t="s">
        <v>1013</v>
      </c>
      <c r="E1235" s="1014"/>
      <c r="F1235" s="1014"/>
    </row>
    <row r="1236" spans="1:7" ht="12.75">
      <c r="D1236" s="1004" t="s">
        <v>1133</v>
      </c>
      <c r="E1236" s="1004"/>
      <c r="F1236" s="1004"/>
    </row>
    <row r="1237" spans="1:7" ht="12.75">
      <c r="E1237" s="1029" t="s">
        <v>2081</v>
      </c>
      <c r="F1237" s="1029"/>
    </row>
    <row r="1238" spans="1:7" ht="12.75">
      <c r="D1238" s="3"/>
    </row>
    <row r="1239" spans="1:7" ht="12.75">
      <c r="D1239" s="1042" t="s">
        <v>1273</v>
      </c>
      <c r="E1239" s="1042"/>
      <c r="F1239" s="1042"/>
    </row>
    <row r="1240" spans="1:7" ht="12.75">
      <c r="B1240" s="606" t="s">
        <v>79</v>
      </c>
      <c r="D1240" s="977" t="s">
        <v>2082</v>
      </c>
      <c r="E1240" s="985"/>
      <c r="F1240" s="985"/>
      <c r="G1240"/>
    </row>
    <row r="1241" spans="1:7" ht="12.75">
      <c r="D1241" s="985"/>
      <c r="E1241" s="985"/>
      <c r="F1241" s="985"/>
      <c r="G1241"/>
    </row>
    <row r="1242" spans="1:7" ht="12.75">
      <c r="D1242" s="498" t="s">
        <v>1276</v>
      </c>
      <c r="E1242"/>
      <c r="F1242"/>
      <c r="G1242"/>
    </row>
    <row r="1243" spans="1:7" ht="13.7" customHeight="1">
      <c r="D1243" s="977" t="s">
        <v>2083</v>
      </c>
      <c r="E1243" s="985"/>
      <c r="F1243" s="985"/>
      <c r="G1243"/>
    </row>
    <row r="1244" spans="1:7" ht="12.75">
      <c r="D1244" s="985"/>
      <c r="E1244" s="985"/>
      <c r="F1244" s="985"/>
      <c r="G1244"/>
    </row>
    <row r="1245" spans="1:7" ht="12.75">
      <c r="D1245" s="985"/>
      <c r="E1245" s="985"/>
      <c r="F1245" s="985"/>
      <c r="G1245"/>
    </row>
    <row r="1246" spans="1:7" ht="12.75">
      <c r="D1246" s="985"/>
      <c r="E1246" s="985"/>
      <c r="F1246" s="985"/>
      <c r="G1246"/>
    </row>
    <row r="1247" spans="1:7" ht="12.75">
      <c r="D1247" s="1029" t="s">
        <v>1016</v>
      </c>
      <c r="E1247" s="1029"/>
      <c r="F1247" s="1029"/>
      <c r="G1247"/>
    </row>
    <row r="1248" spans="1:7" ht="12.75">
      <c r="B1248" s="606" t="s">
        <v>79</v>
      </c>
      <c r="D1248" s="1014" t="s">
        <v>1274</v>
      </c>
      <c r="E1248" s="1014"/>
      <c r="F1248" s="1014"/>
      <c r="G1248"/>
    </row>
    <row r="1249" spans="1:7" ht="12.75">
      <c r="E1249"/>
      <c r="F1249"/>
      <c r="G1249"/>
    </row>
    <row r="1250" spans="1:7" ht="12.75">
      <c r="D1250" s="1044" t="s">
        <v>1275</v>
      </c>
      <c r="E1250" s="1044"/>
      <c r="F1250" s="1044"/>
      <c r="G1250"/>
    </row>
    <row r="1251" spans="1:7" ht="12.75">
      <c r="D1251" s="3" t="s">
        <v>1014</v>
      </c>
      <c r="E1251"/>
      <c r="F1251"/>
      <c r="G1251"/>
    </row>
    <row r="1252" spans="1:7" ht="14.45" customHeight="1">
      <c r="A1252" s="269"/>
      <c r="B1252" s="606" t="s">
        <v>79</v>
      </c>
      <c r="D1252" s="985" t="s">
        <v>1512</v>
      </c>
      <c r="E1252" s="985"/>
      <c r="F1252" s="985"/>
      <c r="G1252"/>
    </row>
    <row r="1253" spans="1:7" ht="14.25">
      <c r="A1253" s="269"/>
      <c r="B1253" s="269"/>
      <c r="D1253" s="985"/>
      <c r="E1253" s="985"/>
      <c r="F1253" s="985"/>
      <c r="G1253"/>
    </row>
    <row r="1254" spans="1:7" ht="14.25">
      <c r="A1254" s="269"/>
      <c r="B1254" s="269"/>
      <c r="D1254" s="985"/>
      <c r="E1254" s="985"/>
      <c r="F1254" s="985"/>
      <c r="G1254"/>
    </row>
    <row r="1255" spans="1:7" ht="14.25">
      <c r="A1255" s="269"/>
      <c r="B1255" s="269"/>
      <c r="E1255"/>
      <c r="F1255"/>
      <c r="G1255"/>
    </row>
    <row r="1256" spans="1:7" ht="14.25">
      <c r="A1256" s="269"/>
      <c r="B1256" s="269"/>
      <c r="D1256" s="416" t="s">
        <v>1132</v>
      </c>
      <c r="E1256" s="416"/>
      <c r="F1256" s="416"/>
    </row>
    <row r="1257" spans="1:7" ht="14.25">
      <c r="A1257" s="269"/>
      <c r="B1257" s="606" t="s">
        <v>79</v>
      </c>
      <c r="D1257" s="985" t="s">
        <v>1513</v>
      </c>
      <c r="E1257" s="985"/>
      <c r="F1257" s="985"/>
    </row>
    <row r="1258" spans="1:7" ht="14.25">
      <c r="A1258" s="269"/>
      <c r="B1258" s="269"/>
      <c r="D1258" s="985"/>
      <c r="E1258" s="985"/>
      <c r="F1258" s="985"/>
    </row>
    <row r="1259" spans="1:7" ht="14.25">
      <c r="A1259" s="269"/>
      <c r="B1259" s="269"/>
      <c r="D1259" s="985"/>
      <c r="E1259" s="985"/>
      <c r="F1259" s="985"/>
    </row>
    <row r="1260" spans="1:7" ht="14.25">
      <c r="A1260" s="269"/>
      <c r="B1260" s="269"/>
      <c r="D1260" s="985"/>
      <c r="E1260" s="985"/>
      <c r="F1260" s="985"/>
    </row>
    <row r="1261" spans="1:7" ht="14.25">
      <c r="A1261" s="269"/>
      <c r="B1261" s="269"/>
      <c r="D1261" s="985"/>
      <c r="E1261" s="985"/>
      <c r="F1261" s="985"/>
    </row>
    <row r="1262" spans="1:7" ht="12.75" customHeight="1">
      <c r="A1262" s="44"/>
      <c r="B1262" s="44"/>
    </row>
    <row r="1263" spans="1:7" ht="12.75">
      <c r="A1263" s="1038" t="s">
        <v>1436</v>
      </c>
      <c r="B1263" s="1038"/>
      <c r="C1263" s="1038"/>
      <c r="D1263" s="1038"/>
      <c r="E1263" s="1038"/>
      <c r="F1263" s="1038"/>
      <c r="G1263" s="1038"/>
    </row>
    <row r="1264" spans="1:7" ht="12.75">
      <c r="A1264" s="44"/>
      <c r="B1264" s="44"/>
    </row>
    <row r="1265" spans="1:7" ht="12.75">
      <c r="A1265" s="44"/>
      <c r="B1265" s="44"/>
      <c r="D1265" s="1034" t="s">
        <v>1437</v>
      </c>
      <c r="E1265" s="1034"/>
      <c r="F1265" s="1034"/>
    </row>
    <row r="1266" spans="1:7" ht="12.75">
      <c r="A1266" s="266"/>
      <c r="B1266" s="266"/>
      <c r="C1266" s="266"/>
      <c r="D1266" s="1014" t="s">
        <v>1450</v>
      </c>
      <c r="E1266" s="1014"/>
      <c r="F1266" s="1014"/>
      <c r="G1266" s="267"/>
    </row>
    <row r="1267" spans="1:7" ht="10.5" customHeight="1"/>
    <row r="1268" spans="1:7" ht="14.25">
      <c r="A1268" s="269"/>
      <c r="B1268" s="606" t="s">
        <v>79</v>
      </c>
      <c r="D1268" s="1014" t="s">
        <v>1134</v>
      </c>
      <c r="E1268" s="1014"/>
      <c r="F1268" s="1014"/>
    </row>
    <row r="1269" spans="1:7" ht="12.75">
      <c r="E1269" s="1029" t="s">
        <v>2084</v>
      </c>
      <c r="F1269" s="1029"/>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sqref="A1:AT123"/>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619" t="s">
        <v>792</v>
      </c>
      <c r="B9" s="1619"/>
      <c r="C9" s="1619"/>
      <c r="D9" s="1619"/>
      <c r="E9" s="1619"/>
      <c r="F9" s="1619"/>
      <c r="G9" s="1619"/>
      <c r="H9" s="1619"/>
      <c r="I9" s="1619"/>
      <c r="J9" s="1619"/>
      <c r="K9" s="1619"/>
      <c r="L9" s="1619"/>
      <c r="M9" s="1619"/>
      <c r="N9" s="1619"/>
      <c r="O9" s="1619"/>
      <c r="P9" s="1619"/>
      <c r="Q9" s="1619"/>
      <c r="R9" s="1619"/>
      <c r="S9" s="1619"/>
      <c r="T9" s="1619"/>
      <c r="U9" s="1619"/>
      <c r="V9" s="1619"/>
      <c r="W9" s="1619"/>
      <c r="X9" s="1619"/>
      <c r="Y9" s="1619"/>
      <c r="Z9" s="1619"/>
      <c r="AA9" s="1619"/>
      <c r="AB9" s="1619"/>
      <c r="AC9" s="1619"/>
      <c r="AD9" s="1619"/>
      <c r="AE9" s="1619"/>
      <c r="AF9" s="1619"/>
      <c r="AG9" s="1619"/>
      <c r="AH9" s="1619"/>
      <c r="AI9" s="1619"/>
      <c r="AJ9" s="1619"/>
      <c r="AK9" s="1619"/>
      <c r="AL9" s="1619"/>
      <c r="AM9" s="1619"/>
      <c r="AN9" s="1619"/>
      <c r="AO9" s="1619"/>
      <c r="AP9" s="1619"/>
      <c r="AQ9" s="1619"/>
      <c r="AR9" s="1619"/>
      <c r="AS9" s="1619"/>
      <c r="AT9" s="1619"/>
    </row>
    <row r="10" spans="1:46" s="656" customFormat="1" ht="12.95" customHeight="1">
      <c r="A10" s="1620" t="s">
        <v>2317</v>
      </c>
      <c r="B10" s="1620"/>
      <c r="C10" s="1620"/>
      <c r="D10" s="1620"/>
      <c r="E10" s="1620"/>
      <c r="F10" s="1620"/>
      <c r="G10" s="1620"/>
      <c r="H10" s="1620"/>
      <c r="I10" s="1620"/>
      <c r="J10" s="1620"/>
      <c r="K10" s="1620"/>
      <c r="L10" s="1620"/>
      <c r="M10" s="1620"/>
      <c r="N10" s="1620"/>
      <c r="O10" s="1620"/>
      <c r="P10" s="1620"/>
      <c r="Q10" s="1620"/>
      <c r="R10" s="1620"/>
      <c r="S10" s="1620"/>
      <c r="T10" s="1620"/>
      <c r="U10" s="1620"/>
      <c r="V10" s="1620"/>
      <c r="W10" s="1620"/>
      <c r="X10" s="1620"/>
      <c r="Y10" s="1620"/>
      <c r="Z10" s="1620"/>
      <c r="AA10" s="1620"/>
      <c r="AB10" s="1620"/>
      <c r="AC10" s="1620"/>
      <c r="AD10" s="1620"/>
      <c r="AE10" s="1620"/>
      <c r="AF10" s="1620"/>
      <c r="AG10" s="1620"/>
      <c r="AH10" s="1620"/>
      <c r="AI10" s="1620"/>
      <c r="AJ10" s="1620"/>
      <c r="AK10" s="1620"/>
      <c r="AL10" s="1620"/>
      <c r="AM10" s="1620"/>
      <c r="AN10" s="1620"/>
      <c r="AO10" s="1620"/>
      <c r="AP10" s="1620"/>
      <c r="AQ10" s="1620"/>
      <c r="AR10" s="1620"/>
      <c r="AS10" s="1620"/>
      <c r="AT10" s="1620"/>
    </row>
    <row r="11" spans="1:46" s="41" customFormat="1" ht="12.95" customHeight="1">
      <c r="A11" s="1621" t="s">
        <v>2331</v>
      </c>
      <c r="B11" s="1621"/>
      <c r="C11" s="1621"/>
      <c r="D11" s="1621"/>
      <c r="E11" s="1621"/>
      <c r="F11" s="1621"/>
      <c r="G11" s="1621"/>
      <c r="H11" s="1621"/>
      <c r="I11" s="1621"/>
      <c r="J11" s="1621"/>
      <c r="K11" s="1621"/>
      <c r="L11" s="1621"/>
      <c r="M11" s="1621"/>
      <c r="N11" s="1621"/>
      <c r="O11" s="1621"/>
      <c r="P11" s="1621"/>
      <c r="Q11" s="1621"/>
      <c r="R11" s="1621"/>
      <c r="S11" s="1621"/>
      <c r="T11" s="1621"/>
      <c r="U11" s="1621"/>
      <c r="V11" s="1621"/>
      <c r="W11" s="1621"/>
      <c r="X11" s="1621"/>
      <c r="Y11" s="1621"/>
      <c r="Z11" s="1621"/>
      <c r="AA11" s="1621"/>
      <c r="AB11" s="1621"/>
      <c r="AC11" s="1621"/>
      <c r="AD11" s="1621"/>
      <c r="AE11" s="1621"/>
      <c r="AF11" s="1621"/>
      <c r="AG11" s="1621"/>
      <c r="AH11" s="1621"/>
      <c r="AI11" s="1621"/>
      <c r="AJ11" s="1621"/>
      <c r="AK11" s="1621"/>
      <c r="AL11" s="1621"/>
      <c r="AM11" s="1621"/>
      <c r="AN11" s="1621"/>
      <c r="AO11" s="1621"/>
      <c r="AP11" s="1621"/>
      <c r="AQ11" s="1621"/>
      <c r="AR11" s="1621"/>
      <c r="AS11" s="1621"/>
      <c r="AT11" s="1621"/>
    </row>
    <row r="12" spans="1:46" ht="12.95" customHeight="1">
      <c r="A12" s="988" t="s">
        <v>1862</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5"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57" t="s">
        <v>2332</v>
      </c>
      <c r="I15" s="1457"/>
      <c r="J15" s="1457"/>
      <c r="K15" s="1457"/>
      <c r="L15" s="1457"/>
      <c r="M15" s="1457"/>
      <c r="N15" s="1457"/>
      <c r="O15" s="1457"/>
      <c r="P15" s="1457"/>
      <c r="Q15" s="1457"/>
      <c r="R15" s="1457"/>
      <c r="S15" s="1457"/>
      <c r="T15" s="1457"/>
      <c r="U15" s="1457"/>
      <c r="V15" s="1457"/>
      <c r="W15" s="1457"/>
      <c r="X15" s="1457"/>
      <c r="Y15" s="1457"/>
      <c r="Z15" s="1457"/>
      <c r="AA15" s="1457"/>
      <c r="AB15" s="1457"/>
      <c r="AC15" s="1457"/>
      <c r="AD15" s="1457"/>
      <c r="AE15" s="1457"/>
      <c r="AF15" s="1457"/>
      <c r="AG15" s="1457"/>
      <c r="AH15" s="1457"/>
      <c r="AI15" s="1457"/>
      <c r="AJ15" s="1457"/>
    </row>
    <row r="16" spans="1:46" ht="12.95" customHeight="1">
      <c r="C16"/>
    </row>
    <row r="17" spans="1:46" ht="12.95" customHeight="1">
      <c r="A17" s="63" t="s">
        <v>793</v>
      </c>
      <c r="C17" s="5"/>
      <c r="D17" s="5"/>
      <c r="E17" s="5"/>
      <c r="F17" s="5"/>
      <c r="G17" s="5"/>
      <c r="H17" s="1154" t="s">
        <v>2333</v>
      </c>
      <c r="I17" s="1454"/>
      <c r="J17" s="1454"/>
      <c r="K17" s="1454"/>
      <c r="L17" s="1454"/>
      <c r="M17" s="1454"/>
      <c r="N17" s="1454"/>
      <c r="O17" s="1454"/>
      <c r="P17" s="1454"/>
      <c r="Q17" s="1454"/>
      <c r="R17" s="1454"/>
      <c r="S17" s="1454"/>
      <c r="T17" s="1454"/>
      <c r="U17" s="1454"/>
      <c r="V17" s="1454"/>
      <c r="W17" s="1454"/>
      <c r="X17" s="1454"/>
      <c r="Y17" s="1454"/>
      <c r="Z17" s="1454"/>
      <c r="AA17" s="1454"/>
      <c r="AB17" s="1454"/>
      <c r="AC17" s="1454"/>
      <c r="AD17" s="1454"/>
      <c r="AE17" s="1454"/>
      <c r="AF17" s="1454"/>
      <c r="AG17" s="1454"/>
      <c r="AH17" s="1454"/>
      <c r="AI17" s="1454"/>
      <c r="AJ17" s="1454"/>
    </row>
    <row r="18" spans="1:46" ht="12.95" customHeight="1">
      <c r="C18"/>
    </row>
    <row r="19" spans="1:46" ht="12.9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61" t="s">
        <v>1351</v>
      </c>
      <c r="B20" s="1461"/>
      <c r="C20" s="1461"/>
      <c r="D20" s="1461"/>
      <c r="E20" s="1461"/>
      <c r="F20" s="1461"/>
      <c r="G20" s="1461"/>
      <c r="H20" s="1461"/>
      <c r="I20" s="1461"/>
      <c r="J20" s="1461"/>
      <c r="K20" s="1461"/>
      <c r="L20" s="1461"/>
      <c r="M20" s="1461"/>
      <c r="N20" s="1461"/>
      <c r="O20" s="1461"/>
      <c r="P20" s="1461"/>
      <c r="Q20" s="1461"/>
      <c r="R20" s="1461"/>
      <c r="S20" s="1461"/>
      <c r="T20" s="1461"/>
      <c r="U20" s="1461"/>
      <c r="V20" s="1461"/>
      <c r="W20" s="1461"/>
      <c r="X20" s="1461"/>
      <c r="Y20" s="1461"/>
      <c r="Z20" s="1461"/>
      <c r="AA20" s="1461"/>
      <c r="AB20" s="1461"/>
      <c r="AC20" s="1461"/>
      <c r="AD20" s="1461"/>
      <c r="AE20" s="1461"/>
      <c r="AF20" s="1461"/>
      <c r="AG20" s="1461"/>
      <c r="AH20" s="1461"/>
      <c r="AI20" s="1461"/>
      <c r="AJ20" s="1461"/>
      <c r="AK20" s="1461"/>
      <c r="AL20" s="146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0" t="s">
        <v>2235</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5"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53">
        <f>ROUND('Basis &amp; Credits'!AB55,0)</f>
        <v>2429035</v>
      </c>
      <c r="N25" s="1453"/>
      <c r="O25" s="1453"/>
      <c r="P25" s="1453"/>
      <c r="Q25" s="1453"/>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53">
        <f>'Basis &amp; Credits'!AB76</f>
        <v>0</v>
      </c>
      <c r="N27" s="1453"/>
      <c r="O27" s="1453"/>
      <c r="P27" s="1453"/>
      <c r="Q27" s="1453"/>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0" t="s">
        <v>2236</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5"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5"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2234</v>
      </c>
      <c r="B33"/>
      <c r="C33" s="100"/>
      <c r="D33" s="100"/>
      <c r="E33" s="100"/>
      <c r="F33" s="100"/>
      <c r="G33" s="100"/>
      <c r="H33" s="100"/>
      <c r="I33" s="100"/>
      <c r="J33" s="100"/>
      <c r="K33" s="100"/>
      <c r="L33" s="100"/>
      <c r="M33" s="100"/>
      <c r="N33" s="100"/>
      <c r="O33" s="1149" t="s">
        <v>482</v>
      </c>
      <c r="P33" s="1149"/>
      <c r="Q33" s="1622" t="s">
        <v>2237</v>
      </c>
      <c r="R33" s="1622"/>
      <c r="S33" s="1622"/>
      <c r="T33" s="1622"/>
      <c r="U33" s="1622"/>
      <c r="V33" s="1622"/>
      <c r="W33" s="1622"/>
      <c r="X33" s="1622"/>
      <c r="Y33" s="1622"/>
      <c r="Z33" s="1622"/>
      <c r="AA33" s="1622"/>
      <c r="AB33" s="1622"/>
      <c r="AC33" s="1622"/>
      <c r="AD33" s="1622"/>
      <c r="AE33" s="1622"/>
      <c r="AF33" s="1622"/>
      <c r="AG33" s="1622"/>
      <c r="AH33" s="1622"/>
      <c r="AI33" s="1622"/>
      <c r="AJ33" s="1622"/>
      <c r="AK33" s="1622"/>
      <c r="AL33" s="1622"/>
      <c r="AM33" s="1622"/>
      <c r="AN33" s="1622"/>
      <c r="AO33" s="1622"/>
      <c r="AP33" s="1622"/>
      <c r="AQ33" s="1622"/>
      <c r="AR33" s="1622"/>
      <c r="AS33" s="1622"/>
      <c r="AT33" s="1622"/>
    </row>
    <row r="34" spans="1:46" ht="12.95" customHeight="1">
      <c r="A34" s="998" t="s">
        <v>2238</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0" t="s">
        <v>2239</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5"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5"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5"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5"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5"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5"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0" t="s">
        <v>2240</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5"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7" t="s">
        <v>2241</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5"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5"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5"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7" t="s">
        <v>2243</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5"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5"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5"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5"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4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7" t="s">
        <v>2245</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5"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5"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0" t="s">
        <v>2247</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7" t="s">
        <v>2248</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5"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5"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7" t="s">
        <v>2249</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5"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5"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0" t="s">
        <v>2250</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5"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5" customHeight="1">
      <c r="C87"/>
      <c r="AM87" s="19"/>
    </row>
    <row r="88" spans="1:16384" s="208" customFormat="1" ht="12.95" customHeight="1">
      <c r="A88" s="980" t="s">
        <v>2251</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623" t="s">
        <v>2252</v>
      </c>
      <c r="B91" s="1623"/>
      <c r="C91" s="1623"/>
      <c r="D91" s="1623"/>
      <c r="E91" s="1623"/>
      <c r="F91" s="1623"/>
      <c r="G91" s="1623"/>
      <c r="H91" s="1623"/>
      <c r="I91" s="1623"/>
      <c r="J91" s="1623"/>
      <c r="K91" s="1623"/>
      <c r="L91" s="1623"/>
      <c r="M91" s="1623"/>
      <c r="N91" s="1623"/>
      <c r="O91" s="1623"/>
      <c r="P91" s="1623"/>
      <c r="Q91" s="1623"/>
      <c r="R91" s="1623"/>
      <c r="S91" s="1623"/>
      <c r="T91" s="1623"/>
      <c r="U91" s="1623"/>
      <c r="V91" s="1623"/>
      <c r="W91" s="1623"/>
      <c r="X91" s="1623"/>
      <c r="Y91" s="1623"/>
      <c r="Z91" s="1623"/>
      <c r="AA91" s="1623"/>
      <c r="AB91" s="1623"/>
      <c r="AC91" s="1623"/>
      <c r="AD91" s="1623"/>
      <c r="AE91" s="1623"/>
      <c r="AF91" s="1623"/>
      <c r="AG91" s="1623"/>
      <c r="AH91" s="1623"/>
      <c r="AI91" s="1623"/>
      <c r="AJ91" s="1623"/>
      <c r="AK91" s="1623"/>
      <c r="AL91" s="1623"/>
      <c r="AM91" s="1623"/>
      <c r="AN91" s="1623"/>
      <c r="AO91" s="1623"/>
      <c r="AP91" s="1623"/>
      <c r="AQ91" s="1623"/>
      <c r="AR91" s="1623"/>
      <c r="AS91" s="1623"/>
      <c r="AT91" s="1623"/>
    </row>
    <row r="92" spans="1:16384" ht="12.95" customHeight="1">
      <c r="A92" s="1623"/>
      <c r="B92" s="1623"/>
      <c r="C92" s="1623"/>
      <c r="D92" s="1623"/>
      <c r="E92" s="1623"/>
      <c r="F92" s="1623"/>
      <c r="G92" s="1623"/>
      <c r="H92" s="1623"/>
      <c r="I92" s="1623"/>
      <c r="J92" s="1623"/>
      <c r="K92" s="1623"/>
      <c r="L92" s="1623"/>
      <c r="M92" s="1623"/>
      <c r="N92" s="1623"/>
      <c r="O92" s="1623"/>
      <c r="P92" s="1623"/>
      <c r="Q92" s="1623"/>
      <c r="R92" s="1623"/>
      <c r="S92" s="1623"/>
      <c r="T92" s="1623"/>
      <c r="U92" s="1623"/>
      <c r="V92" s="1623"/>
      <c r="W92" s="1623"/>
      <c r="X92" s="1623"/>
      <c r="Y92" s="1623"/>
      <c r="Z92" s="1623"/>
      <c r="AA92" s="1623"/>
      <c r="AB92" s="1623"/>
      <c r="AC92" s="1623"/>
      <c r="AD92" s="1623"/>
      <c r="AE92" s="1623"/>
      <c r="AF92" s="1623"/>
      <c r="AG92" s="1623"/>
      <c r="AH92" s="1623"/>
      <c r="AI92" s="1623"/>
      <c r="AJ92" s="1623"/>
      <c r="AK92" s="1623"/>
      <c r="AL92" s="1623"/>
      <c r="AM92" s="1623"/>
      <c r="AN92" s="1623"/>
      <c r="AO92" s="1623"/>
      <c r="AP92" s="1623"/>
      <c r="AQ92" s="1623"/>
      <c r="AR92" s="1623"/>
      <c r="AS92" s="1623"/>
      <c r="AT92" s="1623"/>
    </row>
    <row r="93" spans="1:16384" ht="12.95" customHeight="1">
      <c r="A93" s="1623"/>
      <c r="B93" s="1623"/>
      <c r="C93" s="1623"/>
      <c r="D93" s="1623"/>
      <c r="E93" s="1623"/>
      <c r="F93" s="1623"/>
      <c r="G93" s="1623"/>
      <c r="H93" s="1623"/>
      <c r="I93" s="1623"/>
      <c r="J93" s="1623"/>
      <c r="K93" s="1623"/>
      <c r="L93" s="1623"/>
      <c r="M93" s="1623"/>
      <c r="N93" s="1623"/>
      <c r="O93" s="1623"/>
      <c r="P93" s="1623"/>
      <c r="Q93" s="1623"/>
      <c r="R93" s="1623"/>
      <c r="S93" s="1623"/>
      <c r="T93" s="1623"/>
      <c r="U93" s="1623"/>
      <c r="V93" s="1623"/>
      <c r="W93" s="1623"/>
      <c r="X93" s="1623"/>
      <c r="Y93" s="1623"/>
      <c r="Z93" s="1623"/>
      <c r="AA93" s="1623"/>
      <c r="AB93" s="1623"/>
      <c r="AC93" s="1623"/>
      <c r="AD93" s="1623"/>
      <c r="AE93" s="1623"/>
      <c r="AF93" s="1623"/>
      <c r="AG93" s="1623"/>
      <c r="AH93" s="1623"/>
      <c r="AI93" s="1623"/>
      <c r="AJ93" s="1623"/>
      <c r="AK93" s="1623"/>
      <c r="AL93" s="1623"/>
      <c r="AM93" s="1623"/>
      <c r="AN93" s="1623"/>
      <c r="AO93" s="1623"/>
      <c r="AP93" s="1623"/>
      <c r="AQ93" s="1623"/>
      <c r="AR93" s="1623"/>
      <c r="AS93" s="1623"/>
      <c r="AT93" s="1623"/>
    </row>
    <row r="94" spans="1:16384" ht="12.95" customHeight="1">
      <c r="A94" s="1623"/>
      <c r="B94" s="1623"/>
      <c r="C94" s="1623"/>
      <c r="D94" s="1623"/>
      <c r="E94" s="1623"/>
      <c r="F94" s="1623"/>
      <c r="G94" s="1623"/>
      <c r="H94" s="1623"/>
      <c r="I94" s="1623"/>
      <c r="J94" s="1623"/>
      <c r="K94" s="1623"/>
      <c r="L94" s="1623"/>
      <c r="M94" s="1623"/>
      <c r="N94" s="1623"/>
      <c r="O94" s="1623"/>
      <c r="P94" s="1623"/>
      <c r="Q94" s="1623"/>
      <c r="R94" s="1623"/>
      <c r="S94" s="1623"/>
      <c r="T94" s="1623"/>
      <c r="U94" s="1623"/>
      <c r="V94" s="1623"/>
      <c r="W94" s="1623"/>
      <c r="X94" s="1623"/>
      <c r="Y94" s="1623"/>
      <c r="Z94" s="1623"/>
      <c r="AA94" s="1623"/>
      <c r="AB94" s="1623"/>
      <c r="AC94" s="1623"/>
      <c r="AD94" s="1623"/>
      <c r="AE94" s="1623"/>
      <c r="AF94" s="1623"/>
      <c r="AG94" s="1623"/>
      <c r="AH94" s="1623"/>
      <c r="AI94" s="1623"/>
      <c r="AJ94" s="1623"/>
      <c r="AK94" s="1623"/>
      <c r="AL94" s="1623"/>
      <c r="AM94" s="1623"/>
      <c r="AN94" s="1623"/>
      <c r="AO94" s="1623"/>
      <c r="AP94" s="1623"/>
      <c r="AQ94" s="1623"/>
      <c r="AR94" s="1623"/>
      <c r="AS94" s="1623"/>
      <c r="AT94" s="1623"/>
    </row>
    <row r="95" spans="1:16384" ht="12.95" customHeight="1">
      <c r="A95" s="1623"/>
      <c r="B95" s="1623"/>
      <c r="C95" s="1623"/>
      <c r="D95" s="1623"/>
      <c r="E95" s="1623"/>
      <c r="F95" s="1623"/>
      <c r="G95" s="1623"/>
      <c r="H95" s="1623"/>
      <c r="I95" s="1623"/>
      <c r="J95" s="1623"/>
      <c r="K95" s="1623"/>
      <c r="L95" s="1623"/>
      <c r="M95" s="1623"/>
      <c r="N95" s="1623"/>
      <c r="O95" s="1623"/>
      <c r="P95" s="1623"/>
      <c r="Q95" s="1623"/>
      <c r="R95" s="1623"/>
      <c r="S95" s="1623"/>
      <c r="T95" s="1623"/>
      <c r="U95" s="1623"/>
      <c r="V95" s="1623"/>
      <c r="W95" s="1623"/>
      <c r="X95" s="1623"/>
      <c r="Y95" s="1623"/>
      <c r="Z95" s="1623"/>
      <c r="AA95" s="1623"/>
      <c r="AB95" s="1623"/>
      <c r="AC95" s="1623"/>
      <c r="AD95" s="1623"/>
      <c r="AE95" s="1623"/>
      <c r="AF95" s="1623"/>
      <c r="AG95" s="1623"/>
      <c r="AH95" s="1623"/>
      <c r="AI95" s="1623"/>
      <c r="AJ95" s="1623"/>
      <c r="AK95" s="1623"/>
      <c r="AL95" s="1623"/>
      <c r="AM95" s="1623"/>
      <c r="AN95" s="1623"/>
      <c r="AO95" s="1623"/>
      <c r="AP95" s="1623"/>
      <c r="AQ95" s="1623"/>
      <c r="AR95" s="1623"/>
      <c r="AS95" s="1623"/>
      <c r="AT95" s="1623"/>
    </row>
    <row r="96" spans="1:16384" ht="12.95" customHeight="1">
      <c r="A96" s="1623"/>
      <c r="B96" s="1623"/>
      <c r="C96" s="1623"/>
      <c r="D96" s="1623"/>
      <c r="E96" s="1623"/>
      <c r="F96" s="1623"/>
      <c r="G96" s="1623"/>
      <c r="H96" s="1623"/>
      <c r="I96" s="1623"/>
      <c r="J96" s="1623"/>
      <c r="K96" s="1623"/>
      <c r="L96" s="1623"/>
      <c r="M96" s="1623"/>
      <c r="N96" s="1623"/>
      <c r="O96" s="1623"/>
      <c r="P96" s="1623"/>
      <c r="Q96" s="1623"/>
      <c r="R96" s="1623"/>
      <c r="S96" s="1623"/>
      <c r="T96" s="1623"/>
      <c r="U96" s="1623"/>
      <c r="V96" s="1623"/>
      <c r="W96" s="1623"/>
      <c r="X96" s="1623"/>
      <c r="Y96" s="1623"/>
      <c r="Z96" s="1623"/>
      <c r="AA96" s="1623"/>
      <c r="AB96" s="1623"/>
      <c r="AC96" s="1623"/>
      <c r="AD96" s="1623"/>
      <c r="AE96" s="1623"/>
      <c r="AF96" s="1623"/>
      <c r="AG96" s="1623"/>
      <c r="AH96" s="1623"/>
      <c r="AI96" s="1623"/>
      <c r="AJ96" s="1623"/>
      <c r="AK96" s="1623"/>
      <c r="AL96" s="1623"/>
      <c r="AM96" s="1623"/>
      <c r="AN96" s="1623"/>
      <c r="AO96" s="1623"/>
      <c r="AP96" s="1623"/>
      <c r="AQ96" s="1623"/>
      <c r="AR96" s="1623"/>
      <c r="AS96" s="1623"/>
      <c r="AT96" s="1623"/>
    </row>
    <row r="97" spans="1:46" ht="12.95" customHeight="1">
      <c r="A97" s="1623"/>
      <c r="B97" s="1623"/>
      <c r="C97" s="1623"/>
      <c r="D97" s="1623"/>
      <c r="E97" s="1623"/>
      <c r="F97" s="1623"/>
      <c r="G97" s="1623"/>
      <c r="H97" s="1623"/>
      <c r="I97" s="1623"/>
      <c r="J97" s="1623"/>
      <c r="K97" s="1623"/>
      <c r="L97" s="1623"/>
      <c r="M97" s="1623"/>
      <c r="N97" s="1623"/>
      <c r="O97" s="1623"/>
      <c r="P97" s="1623"/>
      <c r="Q97" s="1623"/>
      <c r="R97" s="1623"/>
      <c r="S97" s="1623"/>
      <c r="T97" s="1623"/>
      <c r="U97" s="1623"/>
      <c r="V97" s="1623"/>
      <c r="W97" s="1623"/>
      <c r="X97" s="1623"/>
      <c r="Y97" s="1623"/>
      <c r="Z97" s="1623"/>
      <c r="AA97" s="1623"/>
      <c r="AB97" s="1623"/>
      <c r="AC97" s="1623"/>
      <c r="AD97" s="1623"/>
      <c r="AE97" s="1623"/>
      <c r="AF97" s="1623"/>
      <c r="AG97" s="1623"/>
      <c r="AH97" s="1623"/>
      <c r="AI97" s="1623"/>
      <c r="AJ97" s="1623"/>
      <c r="AK97" s="1623"/>
      <c r="AL97" s="1623"/>
      <c r="AM97" s="1623"/>
      <c r="AN97" s="1623"/>
      <c r="AO97" s="1623"/>
      <c r="AP97" s="1623"/>
      <c r="AQ97" s="1623"/>
      <c r="AR97" s="1623"/>
      <c r="AS97" s="1623"/>
      <c r="AT97" s="1623"/>
    </row>
    <row r="98" spans="1:46" ht="12.95" customHeight="1">
      <c r="A98" s="1623"/>
      <c r="B98" s="1623"/>
      <c r="C98" s="1623"/>
      <c r="D98" s="1623"/>
      <c r="E98" s="1623"/>
      <c r="F98" s="1623"/>
      <c r="G98" s="1623"/>
      <c r="H98" s="1623"/>
      <c r="I98" s="1623"/>
      <c r="J98" s="1623"/>
      <c r="K98" s="1623"/>
      <c r="L98" s="1623"/>
      <c r="M98" s="1623"/>
      <c r="N98" s="1623"/>
      <c r="O98" s="1623"/>
      <c r="P98" s="1623"/>
      <c r="Q98" s="1623"/>
      <c r="R98" s="1623"/>
      <c r="S98" s="1623"/>
      <c r="T98" s="1623"/>
      <c r="U98" s="1623"/>
      <c r="V98" s="1623"/>
      <c r="W98" s="1623"/>
      <c r="X98" s="1623"/>
      <c r="Y98" s="1623"/>
      <c r="Z98" s="1623"/>
      <c r="AA98" s="1623"/>
      <c r="AB98" s="1623"/>
      <c r="AC98" s="1623"/>
      <c r="AD98" s="1623"/>
      <c r="AE98" s="1623"/>
      <c r="AF98" s="1623"/>
      <c r="AG98" s="1623"/>
      <c r="AH98" s="1623"/>
      <c r="AI98" s="1623"/>
      <c r="AJ98" s="1623"/>
      <c r="AK98" s="1623"/>
      <c r="AL98" s="1623"/>
      <c r="AM98" s="1623"/>
      <c r="AN98" s="1623"/>
      <c r="AO98" s="1623"/>
      <c r="AP98" s="1623"/>
      <c r="AQ98" s="1623"/>
      <c r="AR98" s="1623"/>
      <c r="AS98" s="1623"/>
      <c r="AT98" s="1623"/>
    </row>
    <row r="99" spans="1:46" ht="12.95" customHeight="1">
      <c r="A99" s="1623"/>
      <c r="B99" s="1623"/>
      <c r="C99" s="1623"/>
      <c r="D99" s="1623"/>
      <c r="E99" s="1623"/>
      <c r="F99" s="1623"/>
      <c r="G99" s="1623"/>
      <c r="H99" s="1623"/>
      <c r="I99" s="1623"/>
      <c r="J99" s="1623"/>
      <c r="K99" s="1623"/>
      <c r="L99" s="1623"/>
      <c r="M99" s="1623"/>
      <c r="N99" s="1623"/>
      <c r="O99" s="1623"/>
      <c r="P99" s="1623"/>
      <c r="Q99" s="1623"/>
      <c r="R99" s="1623"/>
      <c r="S99" s="1623"/>
      <c r="T99" s="1623"/>
      <c r="U99" s="1623"/>
      <c r="V99" s="1623"/>
      <c r="W99" s="1623"/>
      <c r="X99" s="1623"/>
      <c r="Y99" s="1623"/>
      <c r="Z99" s="1623"/>
      <c r="AA99" s="1623"/>
      <c r="AB99" s="1623"/>
      <c r="AC99" s="1623"/>
      <c r="AD99" s="1623"/>
      <c r="AE99" s="1623"/>
      <c r="AF99" s="1623"/>
      <c r="AG99" s="1623"/>
      <c r="AH99" s="1623"/>
      <c r="AI99" s="1623"/>
      <c r="AJ99" s="1623"/>
      <c r="AK99" s="1623"/>
      <c r="AL99" s="1623"/>
      <c r="AM99" s="1623"/>
      <c r="AN99" s="1623"/>
      <c r="AO99" s="1623"/>
      <c r="AP99" s="1623"/>
      <c r="AQ99" s="1623"/>
      <c r="AR99" s="1623"/>
      <c r="AS99" s="1623"/>
      <c r="AT99" s="1623"/>
    </row>
    <row r="100" spans="1:46" ht="19.899999999999999" customHeight="1">
      <c r="A100" s="1623"/>
      <c r="B100" s="1623"/>
      <c r="C100" s="1623"/>
      <c r="D100" s="1623"/>
      <c r="E100" s="1623"/>
      <c r="F100" s="1623"/>
      <c r="G100" s="1623"/>
      <c r="H100" s="1623"/>
      <c r="I100" s="1623"/>
      <c r="J100" s="1623"/>
      <c r="K100" s="1623"/>
      <c r="L100" s="1623"/>
      <c r="M100" s="1623"/>
      <c r="N100" s="1623"/>
      <c r="O100" s="1623"/>
      <c r="P100" s="1623"/>
      <c r="Q100" s="1623"/>
      <c r="R100" s="1623"/>
      <c r="S100" s="1623"/>
      <c r="T100" s="1623"/>
      <c r="U100" s="1623"/>
      <c r="V100" s="1623"/>
      <c r="W100" s="1623"/>
      <c r="X100" s="1623"/>
      <c r="Y100" s="1623"/>
      <c r="Z100" s="1623"/>
      <c r="AA100" s="1623"/>
      <c r="AB100" s="1623"/>
      <c r="AC100" s="1623"/>
      <c r="AD100" s="1623"/>
      <c r="AE100" s="1623"/>
      <c r="AF100" s="1623"/>
      <c r="AG100" s="1623"/>
      <c r="AH100" s="1623"/>
      <c r="AI100" s="1623"/>
      <c r="AJ100" s="1623"/>
      <c r="AK100" s="1623"/>
      <c r="AL100" s="1623"/>
      <c r="AM100" s="1623"/>
      <c r="AN100" s="1623"/>
      <c r="AO100" s="1623"/>
      <c r="AP100" s="1623"/>
      <c r="AQ100" s="1623"/>
      <c r="AR100" s="1623"/>
      <c r="AS100" s="1623"/>
      <c r="AT100" s="1623"/>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7" t="s">
        <v>2253</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5"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5"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5"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623" t="s">
        <v>2254</v>
      </c>
      <c r="B107" s="1623"/>
      <c r="C107" s="1623"/>
      <c r="D107" s="1623"/>
      <c r="E107" s="1623"/>
      <c r="F107" s="1623"/>
      <c r="G107" s="1623"/>
      <c r="H107" s="1623"/>
      <c r="I107" s="1623"/>
      <c r="J107" s="1623"/>
      <c r="K107" s="1623"/>
      <c r="L107" s="1623"/>
      <c r="M107" s="1623"/>
      <c r="N107" s="1623"/>
      <c r="O107" s="1623"/>
      <c r="P107" s="1623"/>
      <c r="Q107" s="1623"/>
      <c r="R107" s="1623"/>
      <c r="S107" s="1623"/>
      <c r="T107" s="1623"/>
      <c r="U107" s="1623"/>
      <c r="V107" s="1623"/>
      <c r="W107" s="1623"/>
      <c r="X107" s="1623"/>
      <c r="Y107" s="1623"/>
      <c r="Z107" s="1623"/>
      <c r="AA107" s="1623"/>
      <c r="AB107" s="1623"/>
      <c r="AC107" s="1623"/>
      <c r="AD107" s="1623"/>
      <c r="AE107" s="1623"/>
      <c r="AF107" s="1623"/>
      <c r="AG107" s="1623"/>
      <c r="AH107" s="1623"/>
      <c r="AI107" s="1623"/>
      <c r="AJ107" s="1623"/>
      <c r="AK107" s="1623"/>
      <c r="AL107" s="1623"/>
      <c r="AM107" s="1623"/>
      <c r="AN107" s="1623"/>
      <c r="AO107" s="1623"/>
      <c r="AP107" s="1623"/>
      <c r="AQ107" s="1623"/>
      <c r="AR107" s="1623"/>
      <c r="AS107" s="1623"/>
      <c r="AT107" s="1623"/>
    </row>
    <row r="108" spans="1:46" ht="12.95" customHeight="1">
      <c r="A108" s="1623"/>
      <c r="B108" s="1623"/>
      <c r="C108" s="1623"/>
      <c r="D108" s="1623"/>
      <c r="E108" s="1623"/>
      <c r="F108" s="1623"/>
      <c r="G108" s="1623"/>
      <c r="H108" s="1623"/>
      <c r="I108" s="1623"/>
      <c r="J108" s="1623"/>
      <c r="K108" s="1623"/>
      <c r="L108" s="1623"/>
      <c r="M108" s="1623"/>
      <c r="N108" s="1623"/>
      <c r="O108" s="1623"/>
      <c r="P108" s="1623"/>
      <c r="Q108" s="1623"/>
      <c r="R108" s="1623"/>
      <c r="S108" s="1623"/>
      <c r="T108" s="1623"/>
      <c r="U108" s="1623"/>
      <c r="V108" s="1623"/>
      <c r="W108" s="1623"/>
      <c r="X108" s="1623"/>
      <c r="Y108" s="1623"/>
      <c r="Z108" s="1623"/>
      <c r="AA108" s="1623"/>
      <c r="AB108" s="1623"/>
      <c r="AC108" s="1623"/>
      <c r="AD108" s="1623"/>
      <c r="AE108" s="1623"/>
      <c r="AF108" s="1623"/>
      <c r="AG108" s="1623"/>
      <c r="AH108" s="1623"/>
      <c r="AI108" s="1623"/>
      <c r="AJ108" s="1623"/>
      <c r="AK108" s="1623"/>
      <c r="AL108" s="1623"/>
      <c r="AM108" s="1623"/>
      <c r="AN108" s="1623"/>
      <c r="AO108" s="1623"/>
      <c r="AP108" s="1623"/>
      <c r="AQ108" s="1623"/>
      <c r="AR108" s="1623"/>
      <c r="AS108" s="1623"/>
      <c r="AT108" s="1623"/>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7" t="s">
        <v>2255</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5"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52">
        <v>3</v>
      </c>
      <c r="H115" s="1152"/>
      <c r="I115" s="41" t="s">
        <v>412</v>
      </c>
      <c r="J115" s="41"/>
      <c r="L115" s="1459" t="s">
        <v>2442</v>
      </c>
      <c r="M115" s="1460"/>
      <c r="N115" s="1460"/>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59" t="s">
        <v>2349</v>
      </c>
      <c r="D117" s="1460"/>
      <c r="E117" s="1460"/>
      <c r="F117" s="1460"/>
      <c r="G117" s="1460"/>
      <c r="H117" s="1460"/>
      <c r="I117" s="1460"/>
      <c r="J117" s="1460"/>
      <c r="K117" s="1460"/>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54" t="s">
        <v>2443</v>
      </c>
      <c r="Z118" s="1454"/>
      <c r="AA118" s="1454"/>
      <c r="AB118" s="1454"/>
      <c r="AC118" s="1454"/>
      <c r="AD118" s="1454"/>
      <c r="AE118" s="1454"/>
      <c r="AF118" s="1454"/>
      <c r="AG118" s="1454"/>
      <c r="AH118" s="1454"/>
      <c r="AI118" s="1454"/>
      <c r="AJ118" s="1454"/>
      <c r="AK118" s="1454"/>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54" t="s">
        <v>2444</v>
      </c>
      <c r="Z121" s="1454"/>
      <c r="AA121" s="1454"/>
      <c r="AB121" s="1454"/>
      <c r="AC121" s="1454"/>
      <c r="AD121" s="1454"/>
      <c r="AE121" s="1454"/>
      <c r="AF121" s="1454"/>
      <c r="AG121" s="1454"/>
      <c r="AH121" s="1454"/>
      <c r="AI121" s="1454"/>
      <c r="AJ121" s="1454"/>
      <c r="AK121" s="1454"/>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454" t="s">
        <v>2334</v>
      </c>
      <c r="P156" s="1454"/>
      <c r="Q156" s="1454"/>
      <c r="R156" s="1454"/>
      <c r="S156" s="1454"/>
      <c r="T156" s="1454"/>
      <c r="U156" s="1454"/>
      <c r="V156" s="1454"/>
      <c r="W156" s="1454"/>
      <c r="X156" s="1454"/>
      <c r="Y156" s="1454"/>
      <c r="Z156" s="1454"/>
      <c r="AA156" s="1454"/>
      <c r="AB156" s="1454"/>
      <c r="AC156" s="1454"/>
      <c r="AD156" s="1454"/>
      <c r="AE156" s="1454"/>
      <c r="AF156" s="1454"/>
      <c r="AG156" s="1454"/>
      <c r="AH156" s="1454"/>
      <c r="BT156" t="s">
        <v>79</v>
      </c>
    </row>
    <row r="157" spans="1:72" ht="12.95" customHeight="1">
      <c r="C157"/>
      <c r="D157" s="337" t="s">
        <v>543</v>
      </c>
      <c r="O157" s="1066" t="s">
        <v>2335</v>
      </c>
      <c r="P157" s="1066"/>
      <c r="Q157" s="1066"/>
      <c r="R157" s="1066"/>
      <c r="S157" s="1066"/>
      <c r="T157" s="1066"/>
      <c r="U157" s="1066"/>
      <c r="V157" s="1066"/>
      <c r="W157" s="1066"/>
      <c r="X157" s="1066"/>
      <c r="Y157" s="1066"/>
      <c r="Z157" s="1066"/>
      <c r="AA157" s="1066"/>
      <c r="AB157" s="1066"/>
      <c r="AC157" s="1066"/>
      <c r="AD157" s="1066"/>
      <c r="AE157" s="1066"/>
      <c r="AF157" s="1066"/>
      <c r="AG157" s="1066"/>
      <c r="AH157" s="1066"/>
      <c r="AI157" t="s">
        <v>709</v>
      </c>
      <c r="BN157" s="30" t="s">
        <v>422</v>
      </c>
      <c r="BT157" t="s">
        <v>28</v>
      </c>
    </row>
    <row r="158" spans="1:72" ht="12.95" customHeight="1">
      <c r="C158"/>
      <c r="D158" s="12" t="s">
        <v>544</v>
      </c>
      <c r="F158" s="12"/>
      <c r="G158" s="12"/>
      <c r="H158" s="12"/>
      <c r="I158" s="12"/>
      <c r="J158" s="12"/>
      <c r="K158" s="12"/>
      <c r="L158" s="12"/>
      <c r="M158" s="12"/>
      <c r="N158" s="12"/>
      <c r="O158" s="1501" t="s">
        <v>545</v>
      </c>
      <c r="P158" s="1501"/>
      <c r="Q158" s="1501"/>
      <c r="R158" s="1501"/>
      <c r="S158" s="1501"/>
      <c r="T158" s="1501"/>
      <c r="U158" s="1501"/>
      <c r="V158" s="1501"/>
      <c r="W158" s="1501"/>
      <c r="X158" s="1501"/>
      <c r="Y158" s="1501"/>
      <c r="Z158" s="1501"/>
      <c r="AA158" s="1501"/>
      <c r="AB158" s="1501"/>
      <c r="AC158" s="1501"/>
      <c r="AD158" s="1501"/>
      <c r="AE158" s="1501"/>
      <c r="AF158" s="1501"/>
      <c r="AG158" s="1501"/>
      <c r="AH158" s="1501"/>
      <c r="BN158" s="30" t="s">
        <v>423</v>
      </c>
      <c r="BT158" t="s">
        <v>29</v>
      </c>
    </row>
    <row r="159" spans="1:72" ht="12.95" customHeight="1">
      <c r="C159"/>
      <c r="D159" t="s">
        <v>647</v>
      </c>
      <c r="O159" s="1158" t="s">
        <v>2336</v>
      </c>
      <c r="P159" s="1158"/>
      <c r="Q159" s="1158"/>
      <c r="R159" s="1158"/>
      <c r="S159" s="1158"/>
      <c r="T159" s="1158"/>
      <c r="U159" s="1158"/>
      <c r="V159" s="1158"/>
      <c r="W159" s="1158"/>
      <c r="X159" s="1158"/>
      <c r="Y159" s="1158"/>
      <c r="Z159" s="1158"/>
      <c r="AA159" s="1158"/>
      <c r="AB159" s="1158"/>
      <c r="AC159" s="1158"/>
      <c r="AD159" s="1158"/>
      <c r="AE159" s="1158"/>
      <c r="AF159" s="1158"/>
      <c r="AG159" s="1158"/>
      <c r="AH159" s="1158"/>
      <c r="BN159" s="30" t="s">
        <v>73</v>
      </c>
      <c r="BT159" t="s">
        <v>384</v>
      </c>
    </row>
    <row r="160" spans="1:72" ht="12.95" customHeight="1">
      <c r="C160"/>
      <c r="D160" t="s">
        <v>648</v>
      </c>
      <c r="O160" s="1454" t="s">
        <v>2337</v>
      </c>
      <c r="P160" s="1454"/>
      <c r="Q160" s="1454"/>
      <c r="R160" s="1454"/>
      <c r="S160" s="1454"/>
      <c r="T160" s="1454"/>
      <c r="U160" s="1454"/>
      <c r="V160" s="1454"/>
      <c r="W160" s="1454"/>
      <c r="X160" s="1454"/>
      <c r="Y160" s="12"/>
      <c r="Z160" s="12"/>
      <c r="AA160" s="12"/>
      <c r="AB160" s="12"/>
      <c r="AC160" s="12"/>
      <c r="AD160" s="12"/>
      <c r="AE160" s="12"/>
      <c r="AF160" s="12"/>
      <c r="BN160" s="30" t="s">
        <v>75</v>
      </c>
      <c r="BT160" t="s">
        <v>385</v>
      </c>
    </row>
    <row r="161" spans="1:72" ht="12.95" customHeight="1">
      <c r="C161"/>
      <c r="D161" t="s">
        <v>649</v>
      </c>
      <c r="O161" s="1504">
        <v>95404</v>
      </c>
      <c r="P161" s="1504"/>
      <c r="Q161" s="1504"/>
      <c r="R161" s="1504"/>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506">
        <v>7075433010</v>
      </c>
      <c r="P162" s="1506"/>
      <c r="Q162" s="1506"/>
      <c r="R162" s="1506"/>
      <c r="S162" s="1506"/>
      <c r="T162" s="1506"/>
      <c r="V162" s="177" t="s">
        <v>12</v>
      </c>
      <c r="W162" s="1505"/>
      <c r="X162" s="1505"/>
      <c r="Y162" s="14"/>
      <c r="Z162" s="14"/>
      <c r="AA162" s="14"/>
      <c r="AB162" s="14"/>
      <c r="AC162" s="14"/>
      <c r="AD162" s="14"/>
      <c r="AE162" s="14"/>
      <c r="AF162" s="14"/>
      <c r="BJ162" t="s">
        <v>108</v>
      </c>
      <c r="BN162" s="30" t="s">
        <v>77</v>
      </c>
      <c r="BT162" t="s">
        <v>387</v>
      </c>
    </row>
    <row r="163" spans="1:72" ht="12.95" customHeight="1">
      <c r="C163"/>
      <c r="D163" t="s">
        <v>651</v>
      </c>
      <c r="O163" s="1506">
        <v>7075433030</v>
      </c>
      <c r="P163" s="1506"/>
      <c r="Q163" s="1506"/>
      <c r="R163" s="1506"/>
      <c r="S163" s="1506"/>
      <c r="T163" s="1506"/>
      <c r="U163" s="14"/>
      <c r="V163" s="14"/>
      <c r="W163" s="14"/>
      <c r="X163" s="14"/>
      <c r="Y163" s="14"/>
      <c r="Z163" s="14"/>
      <c r="AA163" s="14"/>
      <c r="AB163" s="14"/>
      <c r="AC163" s="14"/>
      <c r="AD163" s="14"/>
      <c r="AE163" s="14"/>
      <c r="AF163" s="14"/>
      <c r="BN163" s="30" t="s">
        <v>476</v>
      </c>
      <c r="BT163" t="s">
        <v>388</v>
      </c>
    </row>
    <row r="164" spans="1:72" ht="12.95" customHeight="1">
      <c r="C164"/>
      <c r="D164" t="s">
        <v>652</v>
      </c>
      <c r="O164" s="1455" t="s">
        <v>2338</v>
      </c>
      <c r="P164" s="1455"/>
      <c r="Q164" s="1455"/>
      <c r="R164" s="1455"/>
      <c r="S164" s="1455"/>
      <c r="T164" s="1455"/>
      <c r="U164" s="1455"/>
      <c r="V164" s="1455"/>
      <c r="W164" s="1455"/>
      <c r="X164" s="1455"/>
      <c r="Y164" s="1455"/>
      <c r="Z164" s="1455"/>
      <c r="AA164" s="1455"/>
      <c r="AB164" s="1455"/>
      <c r="AC164" s="1455"/>
      <c r="AD164" s="1455"/>
      <c r="AE164" s="1455"/>
      <c r="AF164" s="1455"/>
      <c r="AG164" s="1455"/>
      <c r="AH164" s="1455"/>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509" t="s">
        <v>2282</v>
      </c>
      <c r="E167" s="1509"/>
      <c r="F167" s="1509"/>
      <c r="G167" s="1509"/>
      <c r="H167" s="1509"/>
      <c r="I167" s="1509"/>
      <c r="J167" s="1509"/>
      <c r="K167" s="1509"/>
      <c r="L167" s="1509"/>
      <c r="M167" s="1509"/>
      <c r="N167" s="1509"/>
      <c r="O167" s="1509"/>
      <c r="P167" s="1509"/>
      <c r="Q167" s="1509"/>
      <c r="R167" s="1509"/>
      <c r="S167" s="1509"/>
      <c r="T167" s="1509"/>
      <c r="U167" s="1509"/>
      <c r="V167" s="1509"/>
      <c r="W167" s="1509"/>
      <c r="X167" s="1509"/>
      <c r="Y167" s="1509"/>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134" t="s">
        <v>379</v>
      </c>
      <c r="B169" s="1134"/>
      <c r="C169" s="1134"/>
      <c r="D169" s="1134"/>
      <c r="E169" s="1134"/>
      <c r="F169" s="1134"/>
      <c r="G169" s="1134"/>
      <c r="H169" s="1134"/>
      <c r="I169" s="1134"/>
      <c r="J169" s="1134"/>
      <c r="K169" s="1134"/>
      <c r="L169" s="1134"/>
      <c r="M169" s="1134"/>
      <c r="N169" s="1134"/>
      <c r="O169" s="1134"/>
      <c r="P169" s="1134"/>
      <c r="Q169" s="1134"/>
      <c r="R169" s="1134"/>
      <c r="S169" s="1134"/>
      <c r="T169" s="1134"/>
      <c r="U169" s="1134"/>
      <c r="V169" s="1134"/>
      <c r="W169" s="1134"/>
      <c r="X169" s="1134"/>
      <c r="Y169" s="1134"/>
      <c r="Z169" s="1134"/>
      <c r="AA169" s="1134"/>
      <c r="AB169" s="1134"/>
      <c r="AC169" s="1134"/>
      <c r="AD169" s="1134"/>
      <c r="AE169" s="1134"/>
      <c r="AF169" s="1134"/>
      <c r="AG169" s="1134"/>
      <c r="AH169" s="1134"/>
      <c r="AI169" s="1134"/>
      <c r="AJ169" s="1134"/>
      <c r="AK169" s="1134"/>
      <c r="AL169" s="1134"/>
      <c r="AM169" s="1134"/>
      <c r="AN169" s="1134"/>
      <c r="AO169" s="1134"/>
      <c r="AP169" s="1134"/>
      <c r="AQ169" s="1134"/>
      <c r="AR169" s="1134"/>
      <c r="AS169" s="1134"/>
      <c r="AT169" s="1134"/>
      <c r="AU169"/>
      <c r="BN169" s="264" t="s">
        <v>486</v>
      </c>
      <c r="BT169" t="s">
        <v>394</v>
      </c>
    </row>
    <row r="170" spans="1:72" s="956" customFormat="1" ht="12.95" customHeight="1">
      <c r="A170" s="1134"/>
      <c r="B170" s="1134"/>
      <c r="C170" s="1134"/>
      <c r="D170" s="1134"/>
      <c r="E170" s="1134"/>
      <c r="F170" s="1134"/>
      <c r="G170" s="1134"/>
      <c r="H170" s="1134"/>
      <c r="I170" s="1134"/>
      <c r="J170" s="1134"/>
      <c r="K170" s="1134"/>
      <c r="L170" s="1134"/>
      <c r="M170" s="1134"/>
      <c r="N170" s="1134"/>
      <c r="O170" s="1134"/>
      <c r="P170" s="1134"/>
      <c r="Q170" s="1134"/>
      <c r="R170" s="1134"/>
      <c r="S170" s="1134"/>
      <c r="T170" s="1134"/>
      <c r="U170" s="1134"/>
      <c r="V170" s="1134"/>
      <c r="W170" s="1134"/>
      <c r="X170" s="1134"/>
      <c r="Y170" s="1134"/>
      <c r="Z170" s="1134"/>
      <c r="AA170" s="1134"/>
      <c r="AB170" s="1134"/>
      <c r="AC170" s="1134"/>
      <c r="AD170" s="1134"/>
      <c r="AE170" s="1134"/>
      <c r="AF170" s="1134"/>
      <c r="AG170" s="1134"/>
      <c r="AH170" s="1134"/>
      <c r="AI170" s="1134"/>
      <c r="AJ170" s="1134"/>
      <c r="AK170" s="1134"/>
      <c r="AL170" s="1134"/>
      <c r="AM170" s="1134"/>
      <c r="AN170" s="1134"/>
      <c r="AO170" s="1134"/>
      <c r="AP170" s="1134"/>
      <c r="AQ170" s="1134"/>
      <c r="AR170" s="1134"/>
      <c r="AS170" s="1134"/>
      <c r="AT170" s="1134"/>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56" t="s">
        <v>505</v>
      </c>
      <c r="K173" s="1456"/>
      <c r="L173" s="1456"/>
      <c r="M173" s="1456"/>
      <c r="N173" s="1456"/>
      <c r="O173" s="1456"/>
      <c r="P173" s="1456"/>
      <c r="Q173" s="1456"/>
      <c r="R173" s="1456"/>
      <c r="S173" s="1456"/>
      <c r="U173" s="32"/>
      <c r="X173" s="32"/>
      <c r="BN173" s="30" t="s">
        <v>491</v>
      </c>
      <c r="BT173" t="s">
        <v>398</v>
      </c>
    </row>
    <row r="174" spans="1:72" ht="12.95" customHeight="1">
      <c r="C174" s="31"/>
      <c r="D174" t="s">
        <v>438</v>
      </c>
      <c r="U174" s="1149" t="s">
        <v>108</v>
      </c>
      <c r="V174" s="1149"/>
      <c r="BN174" s="30" t="s">
        <v>594</v>
      </c>
      <c r="BT174" t="s">
        <v>399</v>
      </c>
    </row>
    <row r="175" spans="1:72" ht="12.95" customHeight="1">
      <c r="C175" s="12"/>
      <c r="D175" s="33"/>
      <c r="E175" t="s">
        <v>230</v>
      </c>
      <c r="O175" s="34"/>
      <c r="P175" t="s">
        <v>2091</v>
      </c>
      <c r="T175" s="34" t="s">
        <v>231</v>
      </c>
      <c r="U175" s="1098">
        <v>25</v>
      </c>
      <c r="V175" s="1098"/>
      <c r="W175" s="1" t="s">
        <v>232</v>
      </c>
      <c r="X175" s="1503">
        <v>66</v>
      </c>
      <c r="Y175" s="1503"/>
      <c r="BN175" s="30" t="s">
        <v>595</v>
      </c>
      <c r="BT175" t="s">
        <v>400</v>
      </c>
    </row>
    <row r="176" spans="1:72" ht="12.95" customHeight="1">
      <c r="C176" s="31"/>
      <c r="D176" t="s">
        <v>279</v>
      </c>
      <c r="U176" s="1149"/>
      <c r="V176" s="1149"/>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513"/>
      <c r="K178" s="1513"/>
      <c r="L178" s="367" t="s">
        <v>232</v>
      </c>
      <c r="M178" s="1160"/>
      <c r="N178" s="1160"/>
      <c r="O178" s="358"/>
      <c r="P178" s="358"/>
      <c r="Q178" s="358"/>
      <c r="R178" s="358"/>
      <c r="U178" s="358" t="s">
        <v>1233</v>
      </c>
      <c r="V178" s="358"/>
      <c r="W178" s="358"/>
      <c r="X178" s="358"/>
      <c r="Y178" s="358"/>
      <c r="Z178" s="358"/>
      <c r="AA178" s="358"/>
      <c r="AB178" s="358"/>
      <c r="AD178" s="1514"/>
      <c r="AE178" s="1514"/>
      <c r="AF178" s="1514"/>
      <c r="AG178" s="1514"/>
      <c r="AH178" s="1514"/>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49"/>
      <c r="Z180" s="1486"/>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306" t="str">
        <f>H17</f>
        <v xml:space="preserve">Ponderosa Village </v>
      </c>
      <c r="J184" s="1306"/>
      <c r="K184" s="1306"/>
      <c r="L184" s="1306"/>
      <c r="M184" s="1306"/>
      <c r="N184" s="1306"/>
      <c r="O184" s="1306"/>
      <c r="P184" s="1306"/>
      <c r="Q184" s="1306"/>
      <c r="R184" s="1306"/>
      <c r="S184" s="1306"/>
      <c r="T184" s="1306"/>
      <c r="U184" s="1306"/>
      <c r="V184" s="1306"/>
      <c r="W184" s="1306"/>
      <c r="X184" s="1306"/>
      <c r="Y184" s="1306"/>
      <c r="Z184" s="1306"/>
      <c r="AA184" s="1306"/>
      <c r="AB184" s="1306"/>
      <c r="AC184" s="1306"/>
      <c r="AD184" s="1306"/>
      <c r="AE184" s="1306"/>
      <c r="BC184" t="s">
        <v>120</v>
      </c>
      <c r="BN184" s="30" t="s">
        <v>574</v>
      </c>
      <c r="BT184" t="s">
        <v>409</v>
      </c>
    </row>
    <row r="185" spans="1:72" ht="12.95" customHeight="1">
      <c r="C185" s="29"/>
      <c r="D185" t="s">
        <v>429</v>
      </c>
      <c r="I185" s="1065" t="s">
        <v>2339</v>
      </c>
      <c r="J185" s="1065"/>
      <c r="K185" s="1065"/>
      <c r="L185" s="1065"/>
      <c r="M185" s="1065"/>
      <c r="N185" s="1065"/>
      <c r="O185" s="1065"/>
      <c r="P185" s="1065"/>
      <c r="Q185" s="1065"/>
      <c r="R185" s="1065"/>
      <c r="S185" s="1065"/>
      <c r="T185" s="1065"/>
      <c r="U185" s="1065"/>
      <c r="V185" s="1065"/>
      <c r="W185" s="1065"/>
      <c r="X185" s="1065"/>
      <c r="Y185" s="1065"/>
      <c r="Z185" s="1065"/>
      <c r="AA185" s="1065"/>
      <c r="AB185" s="1065"/>
      <c r="AC185" s="1065"/>
      <c r="AD185" s="1065"/>
      <c r="AE185" s="1065"/>
      <c r="BC185" s="41" t="s">
        <v>121</v>
      </c>
      <c r="BN185" s="30" t="s">
        <v>575</v>
      </c>
      <c r="BT185" t="s">
        <v>839</v>
      </c>
    </row>
    <row r="186" spans="1:72" ht="12.95" customHeight="1">
      <c r="C186" s="29"/>
      <c r="E186" t="s">
        <v>62</v>
      </c>
      <c r="BN186" s="30" t="s">
        <v>576</v>
      </c>
      <c r="BT186" t="s">
        <v>840</v>
      </c>
    </row>
    <row r="187" spans="1:72" ht="12.95" customHeight="1">
      <c r="C187" s="29"/>
      <c r="E187" s="1386"/>
      <c r="F187" s="1386"/>
      <c r="G187" s="1386"/>
      <c r="H187" s="1386"/>
      <c r="I187" s="1386"/>
      <c r="J187" s="1386"/>
      <c r="K187" s="1386"/>
      <c r="L187" s="1386"/>
      <c r="M187" s="1386"/>
      <c r="N187" s="1386"/>
      <c r="O187" s="1386"/>
      <c r="P187" s="1386"/>
      <c r="Q187" s="1386"/>
      <c r="R187" s="1386"/>
      <c r="S187" s="1386"/>
      <c r="T187" s="1386"/>
      <c r="U187" s="1386"/>
      <c r="V187" s="1386"/>
      <c r="W187" s="1386"/>
      <c r="X187" s="1386"/>
      <c r="Y187" s="1386"/>
      <c r="Z187" s="1386"/>
      <c r="AA187" s="1386"/>
      <c r="AB187" s="1386"/>
      <c r="AC187" s="1386"/>
      <c r="AD187" s="1386"/>
      <c r="AE187" s="1386"/>
      <c r="BN187" s="30" t="s">
        <v>577</v>
      </c>
      <c r="BT187" t="s">
        <v>841</v>
      </c>
    </row>
    <row r="188" spans="1:72" ht="12.95" customHeight="1">
      <c r="C188" s="29"/>
      <c r="E188" s="1387"/>
      <c r="F188" s="1387"/>
      <c r="G188" s="1387"/>
      <c r="H188" s="1387"/>
      <c r="I188" s="1387"/>
      <c r="J188" s="1387"/>
      <c r="K188" s="1387"/>
      <c r="L188" s="1387"/>
      <c r="M188" s="1387"/>
      <c r="N188" s="1387"/>
      <c r="O188" s="1387"/>
      <c r="P188" s="1387"/>
      <c r="Q188" s="1387"/>
      <c r="R188" s="1387"/>
      <c r="S188" s="1387"/>
      <c r="T188" s="1387"/>
      <c r="U188" s="1387"/>
      <c r="V188" s="1387"/>
      <c r="W188" s="1387"/>
      <c r="X188" s="1387"/>
      <c r="Y188" s="1387"/>
      <c r="Z188" s="1387"/>
      <c r="AA188" s="1387"/>
      <c r="AB188" s="1387"/>
      <c r="AC188" s="1387"/>
      <c r="AD188" s="1387"/>
      <c r="AE188" s="1387"/>
      <c r="BN188" s="30" t="s">
        <v>579</v>
      </c>
      <c r="BT188" t="s">
        <v>842</v>
      </c>
    </row>
    <row r="189" spans="1:72" ht="12.95" customHeight="1">
      <c r="C189" s="29"/>
      <c r="D189" t="s">
        <v>430</v>
      </c>
      <c r="I189" s="1158" t="s">
        <v>2340</v>
      </c>
      <c r="J189" s="1158"/>
      <c r="K189" s="1158"/>
      <c r="L189" s="1158"/>
      <c r="M189" s="1158"/>
      <c r="N189" s="1158"/>
      <c r="O189" s="1158"/>
      <c r="P189" s="1158"/>
      <c r="Q189" t="s">
        <v>432</v>
      </c>
      <c r="T189" s="1158" t="s">
        <v>845</v>
      </c>
      <c r="U189" s="1158"/>
      <c r="V189" s="1158"/>
      <c r="W189" s="1158"/>
      <c r="X189" s="1158"/>
      <c r="Y189" s="1158"/>
      <c r="Z189" s="1158"/>
      <c r="AA189" s="1158"/>
      <c r="AB189" s="1158"/>
      <c r="AC189" s="1158"/>
      <c r="AD189" s="1158"/>
      <c r="AE189" s="1158"/>
      <c r="BC189" t="s">
        <v>79</v>
      </c>
      <c r="BH189" s="41" t="s">
        <v>124</v>
      </c>
      <c r="BN189" s="30" t="s">
        <v>580</v>
      </c>
      <c r="BT189" t="s">
        <v>109</v>
      </c>
    </row>
    <row r="190" spans="1:72" ht="12.95" customHeight="1">
      <c r="C190" s="29"/>
      <c r="D190" t="s">
        <v>433</v>
      </c>
      <c r="I190" s="1065">
        <v>95407</v>
      </c>
      <c r="J190" s="1065"/>
      <c r="K190" s="1065"/>
      <c r="L190" s="1065"/>
      <c r="M190" s="1065"/>
      <c r="N190" s="1065"/>
      <c r="O190" t="s">
        <v>435</v>
      </c>
      <c r="T190" s="1511">
        <v>1531.04</v>
      </c>
      <c r="U190" s="1511"/>
      <c r="V190" s="1511"/>
      <c r="W190" s="1511"/>
      <c r="X190" s="1511"/>
      <c r="Y190" s="1511"/>
      <c r="Z190" s="1511"/>
      <c r="AA190" s="1511"/>
      <c r="AB190" s="1511"/>
      <c r="AC190" s="1511"/>
      <c r="AD190" s="1511"/>
      <c r="AE190" s="1511"/>
      <c r="BC190" t="s">
        <v>663</v>
      </c>
      <c r="BH190" t="s">
        <v>663</v>
      </c>
      <c r="BN190" s="30" t="s">
        <v>421</v>
      </c>
      <c r="BT190" t="s">
        <v>110</v>
      </c>
    </row>
    <row r="191" spans="1:72" ht="12.95" customHeight="1">
      <c r="C191" s="29"/>
      <c r="D191" t="s">
        <v>81</v>
      </c>
      <c r="N191" s="1521" t="s">
        <v>2445</v>
      </c>
      <c r="O191" s="1386"/>
      <c r="P191" s="1386"/>
      <c r="Q191" s="1386"/>
      <c r="R191" s="1386"/>
      <c r="S191" s="1386"/>
      <c r="T191" s="1386"/>
      <c r="U191" s="1386"/>
      <c r="V191" s="1386"/>
      <c r="W191" s="1386"/>
      <c r="X191" s="1386"/>
      <c r="Y191" s="1386"/>
      <c r="Z191" s="1386"/>
      <c r="AA191" s="1386"/>
      <c r="AB191" s="1386"/>
      <c r="AC191" s="1386"/>
      <c r="AD191" s="1386"/>
      <c r="AE191" s="1386"/>
      <c r="BC191" t="s">
        <v>1423</v>
      </c>
      <c r="BH191" t="s">
        <v>1423</v>
      </c>
      <c r="BN191" s="30" t="s">
        <v>582</v>
      </c>
      <c r="BT191" t="s">
        <v>111</v>
      </c>
    </row>
    <row r="192" spans="1:72" ht="12.95" customHeight="1">
      <c r="C192" s="29"/>
      <c r="M192" s="49"/>
      <c r="N192" s="1387"/>
      <c r="O192" s="1387"/>
      <c r="P192" s="1387"/>
      <c r="Q192" s="1387"/>
      <c r="R192" s="1387"/>
      <c r="S192" s="1387"/>
      <c r="T192" s="1387"/>
      <c r="U192" s="1387"/>
      <c r="V192" s="1387"/>
      <c r="W192" s="1387"/>
      <c r="X192" s="1387"/>
      <c r="Y192" s="1387"/>
      <c r="Z192" s="1387"/>
      <c r="AA192" s="1387"/>
      <c r="AB192" s="1387"/>
      <c r="AC192" s="1387"/>
      <c r="AD192" s="1387"/>
      <c r="AE192" s="1387"/>
      <c r="BC192" t="s">
        <v>664</v>
      </c>
      <c r="BH192" t="s">
        <v>615</v>
      </c>
      <c r="BN192" s="30" t="s">
        <v>583</v>
      </c>
      <c r="BT192" t="s">
        <v>112</v>
      </c>
    </row>
    <row r="193" spans="1:73" ht="12.95" customHeight="1">
      <c r="C193" s="29"/>
      <c r="D193" t="s">
        <v>436</v>
      </c>
      <c r="T193" s="1149" t="s">
        <v>482</v>
      </c>
      <c r="U193" s="1149"/>
      <c r="W193" s="41" t="s">
        <v>1875</v>
      </c>
      <c r="AA193" s="1517"/>
      <c r="AB193" s="1517"/>
      <c r="AC193" s="1517"/>
      <c r="BC193" t="s">
        <v>564</v>
      </c>
      <c r="BH193" s="5" t="s">
        <v>1428</v>
      </c>
      <c r="BN193" s="30" t="s">
        <v>584</v>
      </c>
      <c r="BT193" t="s">
        <v>113</v>
      </c>
    </row>
    <row r="194" spans="1:73" ht="12.95" customHeight="1">
      <c r="C194" s="29"/>
      <c r="D194" t="s">
        <v>118</v>
      </c>
      <c r="T194" s="1122" t="s">
        <v>108</v>
      </c>
      <c r="U194" s="1122"/>
      <c r="W194" t="s">
        <v>63</v>
      </c>
      <c r="AI194" s="1149" t="s">
        <v>482</v>
      </c>
      <c r="AJ194" s="1149"/>
      <c r="AX194" s="5" t="s">
        <v>124</v>
      </c>
      <c r="BC194" t="s">
        <v>615</v>
      </c>
      <c r="BN194" s="30" t="s">
        <v>753</v>
      </c>
      <c r="BT194" t="s">
        <v>114</v>
      </c>
    </row>
    <row r="195" spans="1:73" ht="12.95" customHeight="1">
      <c r="C195" s="29"/>
      <c r="D195" s="41" t="s">
        <v>1726</v>
      </c>
      <c r="T195" s="1122" t="s">
        <v>482</v>
      </c>
      <c r="U195" s="1122"/>
      <c r="X195" s="794" t="s">
        <v>2093</v>
      </c>
      <c r="AX195" s="5" t="s">
        <v>1150</v>
      </c>
      <c r="BN195" s="30" t="s">
        <v>754</v>
      </c>
      <c r="BT195" t="s">
        <v>115</v>
      </c>
    </row>
    <row r="196" spans="1:73" ht="12.95" customHeight="1">
      <c r="C196" s="29"/>
      <c r="D196" s="5" t="s">
        <v>1155</v>
      </c>
      <c r="T196" s="1122" t="s">
        <v>482</v>
      </c>
      <c r="U196" s="1122"/>
      <c r="AK196" s="1516"/>
      <c r="AL196" s="1516"/>
      <c r="AX196" s="41" t="s">
        <v>2184</v>
      </c>
      <c r="BN196" s="30" t="s">
        <v>755</v>
      </c>
      <c r="BT196" t="s">
        <v>116</v>
      </c>
    </row>
    <row r="197" spans="1:73" ht="12.95" customHeight="1">
      <c r="C197" s="29"/>
      <c r="D197" s="41" t="s">
        <v>1876</v>
      </c>
      <c r="T197" s="1149" t="s">
        <v>482</v>
      </c>
      <c r="U197" s="1149"/>
      <c r="AX197" s="5" t="s">
        <v>1151</v>
      </c>
      <c r="BC197" t="s">
        <v>79</v>
      </c>
      <c r="BN197" s="30" t="s">
        <v>756</v>
      </c>
      <c r="BT197" t="s">
        <v>117</v>
      </c>
    </row>
    <row r="198" spans="1:73" ht="12.95" customHeight="1">
      <c r="C198" s="29"/>
      <c r="D198" s="41" t="s">
        <v>1904</v>
      </c>
      <c r="W198" s="1406" t="s">
        <v>482</v>
      </c>
      <c r="X198" s="1149"/>
      <c r="AX198" s="5" t="s">
        <v>1152</v>
      </c>
      <c r="BC198" t="s">
        <v>1103</v>
      </c>
      <c r="BN198" s="30" t="s">
        <v>757</v>
      </c>
      <c r="BT198" t="s">
        <v>803</v>
      </c>
    </row>
    <row r="199" spans="1:73" ht="12.95" customHeight="1">
      <c r="C199" s="29"/>
      <c r="L199" s="307"/>
      <c r="M199" s="307"/>
      <c r="N199" s="307"/>
      <c r="O199" s="307"/>
      <c r="P199" s="307"/>
      <c r="Q199" s="918" t="s">
        <v>2094</v>
      </c>
      <c r="R199" s="1154" t="s">
        <v>2009</v>
      </c>
      <c r="S199" s="1154"/>
      <c r="T199" s="1154"/>
      <c r="U199" s="1154"/>
      <c r="V199" s="1154"/>
      <c r="W199" s="1154"/>
      <c r="X199" s="1154"/>
      <c r="Y199" s="1154"/>
      <c r="Z199" s="1154"/>
      <c r="AA199" s="1154"/>
      <c r="AB199" s="1154"/>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306" t="str">
        <f>IF(AND(M25&gt;0,M27&gt;0),"Federal and State","Federal Only")</f>
        <v>Federal Only</v>
      </c>
      <c r="E203" s="1306"/>
      <c r="F203" s="1306"/>
      <c r="G203" s="1306"/>
      <c r="H203" s="1306"/>
      <c r="I203" s="1306"/>
      <c r="J203" s="1306"/>
      <c r="K203" s="1306"/>
      <c r="L203" s="1306"/>
      <c r="M203" s="1306"/>
      <c r="P203" s="1510">
        <f>M25</f>
        <v>2429035</v>
      </c>
      <c r="Q203" s="1510"/>
      <c r="R203" s="1510"/>
      <c r="S203" s="1510"/>
      <c r="T203" s="1510"/>
      <c r="U203" s="1510"/>
      <c r="W203" s="1510">
        <f>M27</f>
        <v>0</v>
      </c>
      <c r="X203" s="1510"/>
      <c r="Y203" s="1510"/>
      <c r="Z203" s="1510"/>
      <c r="AA203" s="1510"/>
      <c r="AB203" s="1510"/>
      <c r="AV203" t="s">
        <v>124</v>
      </c>
      <c r="AX203" s="5" t="s">
        <v>564</v>
      </c>
      <c r="BC203" t="s">
        <v>1432</v>
      </c>
      <c r="BN203" s="30" t="s">
        <v>661</v>
      </c>
      <c r="BT203" s="40" t="s">
        <v>808</v>
      </c>
      <c r="BU203" s="21"/>
    </row>
    <row r="204" spans="1:73" ht="12.95" customHeight="1">
      <c r="C204" s="29"/>
      <c r="P204" s="1450" t="s">
        <v>175</v>
      </c>
      <c r="Q204" s="1450"/>
      <c r="R204" s="1450"/>
      <c r="S204" s="1450"/>
      <c r="T204" s="1450"/>
      <c r="U204" s="1450"/>
      <c r="V204" s="36"/>
      <c r="W204" s="1450" t="s">
        <v>176</v>
      </c>
      <c r="X204" s="1450"/>
      <c r="Y204" s="1450"/>
      <c r="Z204" s="1450"/>
      <c r="AA204" s="1450"/>
      <c r="AB204" s="1450"/>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5" customHeight="1">
      <c r="C208" s="29"/>
      <c r="D208" s="1454" t="s">
        <v>2341</v>
      </c>
      <c r="E208" s="1454"/>
      <c r="F208" s="1454"/>
      <c r="G208" s="1454"/>
      <c r="H208" s="1454"/>
      <c r="I208" s="1454"/>
      <c r="J208" s="1454"/>
      <c r="K208" s="1454"/>
      <c r="L208" s="1454"/>
      <c r="M208" s="1454"/>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54" t="s">
        <v>124</v>
      </c>
      <c r="E211" s="1454"/>
      <c r="F211" s="1454"/>
      <c r="G211" s="1454"/>
      <c r="H211" s="1454"/>
      <c r="I211" s="1454"/>
      <c r="J211" s="1454"/>
      <c r="K211" s="1454"/>
      <c r="L211" s="1454"/>
      <c r="M211" s="1454"/>
      <c r="N211" s="1454"/>
      <c r="O211" s="1454"/>
      <c r="P211" s="1454"/>
      <c r="X211" s="800"/>
      <c r="Y211" s="1512" t="s">
        <v>482</v>
      </c>
      <c r="Z211" s="1512"/>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507" t="s">
        <v>663</v>
      </c>
      <c r="E214" s="1507"/>
      <c r="F214" s="1507"/>
      <c r="G214" s="1507"/>
      <c r="H214" s="1507"/>
      <c r="I214" s="1507"/>
      <c r="J214" s="1507"/>
      <c r="AX214" t="s">
        <v>2007</v>
      </c>
      <c r="BC214" t="s">
        <v>630</v>
      </c>
      <c r="BN214" s="30" t="s">
        <v>443</v>
      </c>
      <c r="BT214" s="40" t="s">
        <v>817</v>
      </c>
    </row>
    <row r="215" spans="1:72" ht="12.95" customHeight="1">
      <c r="C215"/>
      <c r="D215" s="35"/>
      <c r="E215" s="41" t="s">
        <v>2298</v>
      </c>
      <c r="S215" s="1518"/>
      <c r="T215" s="1518"/>
      <c r="V215" s="1519">
        <f>IFERROR(S215/AG441,"")</f>
        <v>0</v>
      </c>
      <c r="W215" s="1519"/>
      <c r="AX215" t="s">
        <v>2008</v>
      </c>
      <c r="BC215" t="s">
        <v>627</v>
      </c>
    </row>
    <row r="216" spans="1:72" ht="12.95" customHeight="1">
      <c r="C216"/>
      <c r="D216" s="35"/>
      <c r="E216" s="934" t="s">
        <v>2293</v>
      </c>
      <c r="AX216" t="s">
        <v>2009</v>
      </c>
      <c r="BC216" t="s">
        <v>744</v>
      </c>
    </row>
    <row r="217" spans="1:72" ht="12.95" customHeight="1">
      <c r="C217"/>
      <c r="E217" s="1462" t="s">
        <v>124</v>
      </c>
      <c r="F217" s="1462"/>
      <c r="G217" s="1462"/>
      <c r="H217" s="1462"/>
      <c r="I217" s="1462"/>
      <c r="J217" s="1462"/>
      <c r="K217" s="1462"/>
      <c r="L217" s="1462"/>
      <c r="M217" s="1462"/>
      <c r="N217" s="1462"/>
      <c r="O217" s="1462"/>
      <c r="P217" s="1462"/>
      <c r="Q217" s="1462"/>
      <c r="R217" s="1462"/>
      <c r="S217" s="1462"/>
      <c r="T217" s="1462"/>
      <c r="U217" s="1462"/>
      <c r="V217" s="1462"/>
      <c r="W217" s="1462"/>
      <c r="X217" s="1462"/>
      <c r="Y217" s="1462"/>
      <c r="Z217" s="1462"/>
      <c r="AA217" s="49"/>
      <c r="AB217" s="49"/>
      <c r="AC217" s="49"/>
      <c r="AD217" s="49"/>
      <c r="AE217" s="49"/>
      <c r="AF217" s="49"/>
      <c r="AX217" s="41" t="s">
        <v>2011</v>
      </c>
      <c r="BC217" t="s">
        <v>628</v>
      </c>
    </row>
    <row r="218" spans="1:72" ht="12.95" customHeight="1">
      <c r="C218"/>
      <c r="E218" s="41" t="s">
        <v>1947</v>
      </c>
      <c r="AA218" s="49"/>
      <c r="AC218" s="1458"/>
      <c r="AD218" s="1458"/>
      <c r="AE218" s="1458"/>
      <c r="AF218" s="1458"/>
      <c r="AG218" s="1458"/>
      <c r="AH218" s="1458"/>
      <c r="AI218" s="1458"/>
      <c r="AJ218" s="1458"/>
      <c r="AK218" s="1458"/>
      <c r="AL218" s="1458"/>
      <c r="AM218" s="1458"/>
      <c r="BC218" t="s">
        <v>629</v>
      </c>
      <c r="BI218" s="39"/>
    </row>
    <row r="219" spans="1:72" ht="12.95" customHeight="1">
      <c r="C219"/>
      <c r="E219" s="41" t="s">
        <v>1948</v>
      </c>
      <c r="AA219" s="49"/>
      <c r="AC219" s="1458"/>
      <c r="AD219" s="1458"/>
      <c r="AE219" s="1458"/>
      <c r="AF219" s="1458"/>
      <c r="AG219" s="1458"/>
      <c r="AH219" s="1458"/>
      <c r="AI219" s="1458"/>
      <c r="AJ219" s="1458"/>
      <c r="AK219" s="1458"/>
      <c r="AL219" s="1458"/>
      <c r="AM219" s="1458"/>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54" t="s">
        <v>1433</v>
      </c>
      <c r="E223" s="1154"/>
      <c r="F223" s="1154"/>
      <c r="G223" s="1154"/>
      <c r="H223" s="1154"/>
      <c r="I223" s="1154"/>
      <c r="J223" s="1154"/>
      <c r="K223" s="1154"/>
      <c r="L223" s="1154"/>
      <c r="M223" s="1154"/>
      <c r="N223" s="1154"/>
      <c r="O223" s="1154"/>
      <c r="P223" s="1154"/>
      <c r="Q223" s="1154"/>
      <c r="R223" s="1154"/>
      <c r="S223" s="1154"/>
      <c r="T223" s="1154"/>
      <c r="U223" s="1154"/>
      <c r="V223" s="1154"/>
      <c r="W223" s="1154"/>
      <c r="X223" s="1154"/>
      <c r="Y223" s="1154"/>
      <c r="Z223" s="1154"/>
      <c r="AA223" s="1154"/>
      <c r="AB223" s="1154"/>
      <c r="AC223" s="1154"/>
      <c r="AD223" s="1154"/>
      <c r="AE223" s="1154"/>
      <c r="AF223" s="1154"/>
      <c r="AG223" s="1154"/>
      <c r="AH223" s="1154"/>
      <c r="AI223" s="1154"/>
      <c r="AJ223" s="21"/>
      <c r="AK223" s="21"/>
      <c r="AL223" s="21"/>
    </row>
    <row r="224" spans="1:72" ht="12.95" customHeight="1">
      <c r="C224"/>
      <c r="AJ224" s="5"/>
    </row>
    <row r="225" spans="1:59" ht="12.95" customHeight="1">
      <c r="C225"/>
      <c r="D225" t="s">
        <v>557</v>
      </c>
      <c r="O225" s="1149">
        <v>5</v>
      </c>
      <c r="P225" s="1149"/>
    </row>
    <row r="226" spans="1:59" ht="12.95" customHeight="1">
      <c r="C226"/>
      <c r="D226" t="s">
        <v>558</v>
      </c>
      <c r="O226" s="1149">
        <v>10</v>
      </c>
      <c r="P226" s="1149"/>
      <c r="BB226" s="5" t="s">
        <v>638</v>
      </c>
      <c r="BG226" s="407">
        <f>IF(AND(AND($M$251="for profit",$M$259="for profit",$M$267="nonprofit")),2,0)</f>
        <v>0</v>
      </c>
    </row>
    <row r="227" spans="1:59" ht="12.95" customHeight="1">
      <c r="C227"/>
      <c r="D227" t="s">
        <v>559</v>
      </c>
      <c r="O227" s="1149">
        <v>2</v>
      </c>
      <c r="P227" s="1149"/>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2</v>
      </c>
    </row>
    <row r="230" spans="1:59" ht="12.95" customHeight="1">
      <c r="C230"/>
      <c r="BB230" t="s">
        <v>638</v>
      </c>
      <c r="BG230" s="408">
        <f>IF(AND(AND($M$251="nonprofit",$M$259="for profit",$M$267="(select one)")),2,0)</f>
        <v>0</v>
      </c>
    </row>
    <row r="231" spans="1:59" ht="12.95" customHeight="1">
      <c r="A231" s="1134" t="s">
        <v>495</v>
      </c>
      <c r="B231" s="1134"/>
      <c r="C231" s="1134"/>
      <c r="D231" s="1134"/>
      <c r="E231" s="1134"/>
      <c r="F231" s="1134"/>
      <c r="G231" s="1134"/>
      <c r="H231" s="1134"/>
      <c r="I231" s="1134"/>
      <c r="J231" s="1134"/>
      <c r="K231" s="1134"/>
      <c r="L231" s="1134"/>
      <c r="M231" s="1134"/>
      <c r="N231" s="1134"/>
      <c r="O231" s="1134"/>
      <c r="P231" s="1134"/>
      <c r="Q231" s="1134"/>
      <c r="R231" s="1134"/>
      <c r="S231" s="1134"/>
      <c r="T231" s="1134"/>
      <c r="U231" s="1134"/>
      <c r="V231" s="1134"/>
      <c r="W231" s="1134"/>
      <c r="X231" s="1134"/>
      <c r="Y231" s="1134"/>
      <c r="Z231" s="1134"/>
      <c r="AA231" s="1134"/>
      <c r="AB231" s="1134"/>
      <c r="AC231" s="1134"/>
      <c r="AD231" s="1134"/>
      <c r="AE231" s="1134"/>
      <c r="AF231" s="1134"/>
      <c r="AG231" s="1134"/>
      <c r="AH231" s="1134"/>
      <c r="AI231" s="1134"/>
      <c r="AJ231" s="1134"/>
      <c r="AK231" s="1134"/>
      <c r="AL231" s="1134"/>
      <c r="AM231" s="1134"/>
      <c r="AN231" s="1134"/>
      <c r="AO231" s="1134"/>
      <c r="AP231" s="1134"/>
      <c r="AQ231" s="1134"/>
      <c r="AR231" s="1134"/>
      <c r="AS231" s="1134"/>
      <c r="AT231" s="1134"/>
    </row>
    <row r="232" spans="1:59" ht="12.95" customHeight="1">
      <c r="A232" s="1134"/>
      <c r="B232" s="1134"/>
      <c r="C232" s="1134"/>
      <c r="D232" s="1134"/>
      <c r="E232" s="1134"/>
      <c r="F232" s="1134"/>
      <c r="G232" s="1134"/>
      <c r="H232" s="1134"/>
      <c r="I232" s="1134"/>
      <c r="J232" s="1134"/>
      <c r="K232" s="1134"/>
      <c r="L232" s="1134"/>
      <c r="M232" s="1134"/>
      <c r="N232" s="1134"/>
      <c r="O232" s="1134"/>
      <c r="P232" s="1134"/>
      <c r="Q232" s="1134"/>
      <c r="R232" s="1134"/>
      <c r="S232" s="1134"/>
      <c r="T232" s="1134"/>
      <c r="U232" s="1134"/>
      <c r="V232" s="1134"/>
      <c r="W232" s="1134"/>
      <c r="X232" s="1134"/>
      <c r="Y232" s="1134"/>
      <c r="Z232" s="1134"/>
      <c r="AA232" s="1134"/>
      <c r="AB232" s="1134"/>
      <c r="AC232" s="1134"/>
      <c r="AD232" s="1134"/>
      <c r="AE232" s="1134"/>
      <c r="AF232" s="1134"/>
      <c r="AG232" s="1134"/>
      <c r="AH232" s="1134"/>
      <c r="AI232" s="1134"/>
      <c r="AJ232" s="1134"/>
      <c r="AK232" s="1134"/>
      <c r="AL232" s="1134"/>
      <c r="AM232" s="1134"/>
      <c r="AN232" s="1134"/>
      <c r="AO232" s="1134"/>
      <c r="AP232" s="1134"/>
      <c r="AQ232" s="1134"/>
      <c r="AR232" s="1134"/>
      <c r="AS232" s="1134"/>
      <c r="AT232" s="1134"/>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52" t="str">
        <f>H15</f>
        <v>Santa Rosa Roseland Avenue LP</v>
      </c>
      <c r="N235" s="1452"/>
      <c r="O235" s="1452"/>
      <c r="P235" s="1452"/>
      <c r="Q235" s="1452"/>
      <c r="R235" s="1452"/>
      <c r="S235" s="1452"/>
      <c r="T235" s="1452"/>
      <c r="U235" s="1452"/>
      <c r="V235" s="1452"/>
      <c r="W235" s="1452"/>
      <c r="X235" s="1452"/>
      <c r="Y235" s="1452"/>
      <c r="Z235" s="1452"/>
      <c r="AA235" s="1452"/>
      <c r="AB235" s="1452"/>
      <c r="AC235" s="1452"/>
      <c r="AD235" s="1452"/>
      <c r="AE235" s="1452"/>
      <c r="AF235" s="1452"/>
      <c r="AG235" s="1452"/>
      <c r="AH235" s="1452"/>
      <c r="AI235" s="1452"/>
      <c r="AJ235" s="1452"/>
      <c r="AK235" s="1452"/>
      <c r="BB235" s="3"/>
      <c r="BG235" s="5"/>
    </row>
    <row r="236" spans="1:59" ht="12.95" customHeight="1">
      <c r="C236"/>
      <c r="D236" s="5" t="s">
        <v>372</v>
      </c>
      <c r="E236" s="5"/>
      <c r="F236" s="5"/>
      <c r="G236" s="5"/>
      <c r="H236" s="5"/>
      <c r="I236" s="5"/>
      <c r="J236" s="5"/>
      <c r="K236" s="5"/>
      <c r="M236" s="1154" t="s">
        <v>2342</v>
      </c>
      <c r="N236" s="1454"/>
      <c r="O236" s="1454"/>
      <c r="P236" s="1454"/>
      <c r="Q236" s="1454"/>
      <c r="R236" s="1454"/>
      <c r="S236" s="1454"/>
      <c r="T236" s="1454"/>
      <c r="U236" s="1454"/>
      <c r="V236" s="1454"/>
      <c r="W236" s="1454"/>
      <c r="X236" s="1454"/>
      <c r="Y236" s="1454"/>
      <c r="Z236" s="1454"/>
      <c r="AA236" s="1454"/>
      <c r="AB236" s="1454"/>
      <c r="AC236" s="1454"/>
      <c r="AD236" s="1454"/>
      <c r="AE236" s="1454"/>
      <c r="AM236" s="41"/>
      <c r="AN236" s="41"/>
      <c r="BB236" t="s">
        <v>637</v>
      </c>
      <c r="BG236" s="407">
        <f>IF(AND(AND($M$251="nonprofit",$M$259="nonprofit",$M$267="nonprofit")),1,0)</f>
        <v>0</v>
      </c>
    </row>
    <row r="237" spans="1:59" ht="12.95" customHeight="1">
      <c r="C237"/>
      <c r="D237" s="5" t="s">
        <v>430</v>
      </c>
      <c r="E237" s="5"/>
      <c r="M237" s="1154" t="s">
        <v>2343</v>
      </c>
      <c r="N237" s="1454"/>
      <c r="O237" s="1454"/>
      <c r="P237" s="1454"/>
      <c r="Q237" s="1454"/>
      <c r="R237" s="1454"/>
      <c r="S237" s="1454"/>
      <c r="T237" s="1454"/>
      <c r="V237" s="42" t="s">
        <v>373</v>
      </c>
      <c r="W237" s="1502" t="s">
        <v>2344</v>
      </c>
      <c r="X237" s="1066"/>
      <c r="Y237" s="5" t="s">
        <v>433</v>
      </c>
      <c r="AC237" s="1454">
        <v>95521</v>
      </c>
      <c r="AD237" s="1454"/>
      <c r="AE237" s="1454"/>
      <c r="AN237" s="41"/>
      <c r="BB237" t="s">
        <v>637</v>
      </c>
      <c r="BG237" s="407">
        <f>IF(AND(AND($M$251="nonprofit",$M$259="nonprofit",$M$267="(select one)")),1,0)</f>
        <v>0</v>
      </c>
    </row>
    <row r="238" spans="1:59" ht="12.95" customHeight="1">
      <c r="C238"/>
      <c r="D238" s="5" t="s">
        <v>374</v>
      </c>
      <c r="E238" s="5"/>
      <c r="F238" s="5"/>
      <c r="G238" s="5"/>
      <c r="H238" s="5"/>
      <c r="I238" s="5"/>
      <c r="J238" s="5"/>
      <c r="K238" s="28"/>
      <c r="M238" s="1154" t="s">
        <v>2345</v>
      </c>
      <c r="N238" s="1454"/>
      <c r="O238" s="1454"/>
      <c r="P238" s="1454"/>
      <c r="Q238" s="1454"/>
      <c r="R238" s="1454"/>
      <c r="S238" s="1454"/>
      <c r="T238" s="1454"/>
      <c r="U238" s="1454"/>
      <c r="V238" s="1454"/>
      <c r="W238" s="1454"/>
      <c r="X238" s="1454"/>
      <c r="Y238" s="1454"/>
      <c r="Z238" s="1454"/>
      <c r="AA238" s="1454"/>
      <c r="AB238" s="1454"/>
      <c r="AC238" s="1454"/>
      <c r="AD238" s="1454"/>
      <c r="AE238" s="1454"/>
      <c r="AI238" s="5"/>
      <c r="AJ238" s="5"/>
      <c r="AK238" s="5"/>
      <c r="AL238" s="5"/>
      <c r="AN238" s="41"/>
      <c r="BB238" t="s">
        <v>637</v>
      </c>
      <c r="BG238" s="407">
        <f>IF(AND(AND($M$251="nonprofit",$M$259="(select one)",$M$267="(select one)")),1,0)</f>
        <v>0</v>
      </c>
    </row>
    <row r="239" spans="1:59" ht="12.95" customHeight="1">
      <c r="C239"/>
      <c r="D239" s="5" t="s">
        <v>375</v>
      </c>
      <c r="E239" s="5"/>
      <c r="F239" s="5"/>
      <c r="M239" s="1307">
        <v>7078229000</v>
      </c>
      <c r="N239" s="1307"/>
      <c r="O239" s="1307"/>
      <c r="P239" s="1307"/>
      <c r="Q239" s="1307"/>
      <c r="R239" s="1307"/>
      <c r="S239" s="5" t="s">
        <v>818</v>
      </c>
      <c r="T239" s="5"/>
      <c r="U239" s="1066"/>
      <c r="V239" s="1066"/>
      <c r="W239" s="1066"/>
      <c r="X239" s="5" t="s">
        <v>376</v>
      </c>
      <c r="Z239" s="1307"/>
      <c r="AA239" s="1307"/>
      <c r="AB239" s="1307"/>
      <c r="AC239" s="1307"/>
      <c r="AD239" s="1307"/>
      <c r="AE239" s="1307"/>
      <c r="AM239" s="41"/>
      <c r="AN239" s="41"/>
      <c r="BB239" t="s">
        <v>1009</v>
      </c>
      <c r="BG239" s="407">
        <f>IF(AND(AND($M$251="for profit",$M$259="for profit",$M$267="for profit")),3,0)</f>
        <v>0</v>
      </c>
    </row>
    <row r="240" spans="1:59" ht="12.95" customHeight="1">
      <c r="C240"/>
      <c r="D240" s="5" t="s">
        <v>377</v>
      </c>
      <c r="E240" s="5"/>
      <c r="F240" s="5"/>
      <c r="M240" s="1455" t="s">
        <v>2346</v>
      </c>
      <c r="N240" s="1455"/>
      <c r="O240" s="1455"/>
      <c r="P240" s="1455"/>
      <c r="Q240" s="1455"/>
      <c r="R240" s="1455"/>
      <c r="S240" s="1455"/>
      <c r="T240" s="1455"/>
      <c r="U240" s="1455"/>
      <c r="V240" s="1455"/>
      <c r="W240" s="1455"/>
      <c r="X240" s="1455"/>
      <c r="Y240" s="1455"/>
      <c r="Z240" s="1455"/>
      <c r="AA240" s="1455"/>
      <c r="AB240" s="1455"/>
      <c r="AC240" s="1455"/>
      <c r="AD240" s="1455"/>
      <c r="AE240" s="1455"/>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65" t="s">
        <v>628</v>
      </c>
      <c r="N241" s="1065"/>
      <c r="O241" s="1065"/>
      <c r="P241" s="1065"/>
      <c r="Q241" s="1065"/>
      <c r="R241" s="1065"/>
      <c r="S241" s="1065"/>
      <c r="T241" s="1065"/>
      <c r="U241" s="5" t="s">
        <v>1144</v>
      </c>
      <c r="AA241" s="1451"/>
      <c r="AB241" s="1451"/>
      <c r="AC241" s="1451"/>
      <c r="AD241" s="1451"/>
      <c r="AE241" s="1451"/>
      <c r="AF241" s="1451"/>
      <c r="AG241" s="1451"/>
      <c r="AH241" s="1451"/>
      <c r="AI241" s="1451"/>
      <c r="AJ241" s="1451"/>
      <c r="AK241" s="1451"/>
      <c r="AL241" s="41"/>
      <c r="AM241" s="5"/>
      <c r="AN241" s="41"/>
      <c r="AO241" s="41"/>
      <c r="BB241" t="s">
        <v>1009</v>
      </c>
      <c r="BG241" s="408">
        <f>IF(AND(AND($M$251="for profit",$M$259="(select one)",$M$267="(select one)")),3,0)</f>
        <v>0</v>
      </c>
    </row>
    <row r="242" spans="1:67" ht="12.95" customHeight="1">
      <c r="C242"/>
      <c r="D242" t="s">
        <v>631</v>
      </c>
      <c r="M242" s="1154"/>
      <c r="N242" s="1158"/>
      <c r="O242" s="1158"/>
      <c r="P242" s="1158"/>
      <c r="Q242" s="1158"/>
      <c r="R242" s="1158"/>
      <c r="S242" s="1158"/>
      <c r="T242" s="1158"/>
      <c r="U242" s="1158"/>
      <c r="V242" s="1158"/>
      <c r="W242" s="1158"/>
      <c r="X242" s="1158"/>
      <c r="Y242" s="1158"/>
      <c r="Z242" s="1158"/>
      <c r="AA242" s="1158"/>
      <c r="AB242" s="1158"/>
      <c r="AC242" s="1158"/>
      <c r="AD242" s="1158"/>
      <c r="AE242" s="1158"/>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457" t="s">
        <v>2347</v>
      </c>
      <c r="N245" s="1457"/>
      <c r="O245" s="1457"/>
      <c r="P245" s="1457"/>
      <c r="Q245" s="1457"/>
      <c r="R245" s="1457"/>
      <c r="S245" s="1457"/>
      <c r="T245" s="1457"/>
      <c r="U245" s="1457"/>
      <c r="V245" s="1457"/>
      <c r="W245" s="1457"/>
      <c r="X245" s="1457"/>
      <c r="Y245" s="1457"/>
      <c r="Z245" s="1457"/>
      <c r="AA245" s="1457"/>
      <c r="AB245" s="1457"/>
      <c r="AC245" s="1457"/>
      <c r="AD245" s="1457"/>
      <c r="AE245" s="1457"/>
      <c r="AF245" s="1508" t="s">
        <v>2348</v>
      </c>
      <c r="AG245" s="1508"/>
      <c r="AH245" s="1508"/>
      <c r="AI245" s="1508"/>
      <c r="AJ245" s="1508"/>
      <c r="AK245" s="1508"/>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454" t="s">
        <v>2342</v>
      </c>
      <c r="N246" s="1454"/>
      <c r="O246" s="1454"/>
      <c r="P246" s="1454"/>
      <c r="Q246" s="1454"/>
      <c r="R246" s="1454"/>
      <c r="S246" s="1454"/>
      <c r="T246" s="1454"/>
      <c r="U246" s="1454"/>
      <c r="V246" s="1454"/>
      <c r="W246" s="1454"/>
      <c r="X246" s="1454"/>
      <c r="Y246" s="1454"/>
      <c r="Z246" s="1454"/>
      <c r="AA246" s="1454"/>
      <c r="AB246" s="1454"/>
      <c r="AC246" s="1454"/>
      <c r="AD246" s="1454"/>
      <c r="AE246" s="1454"/>
      <c r="AL246" s="5"/>
      <c r="AN246" s="41"/>
      <c r="BB246" s="5" t="s">
        <v>454</v>
      </c>
      <c r="BH246">
        <v>3</v>
      </c>
      <c r="BI246" t="s">
        <v>636</v>
      </c>
    </row>
    <row r="247" spans="1:67" ht="12.95" customHeight="1">
      <c r="A247" s="28"/>
      <c r="B247" s="5"/>
      <c r="C247" s="5"/>
      <c r="D247" s="5" t="s">
        <v>430</v>
      </c>
      <c r="E247" s="5"/>
      <c r="M247" s="1154" t="s">
        <v>2349</v>
      </c>
      <c r="N247" s="1454"/>
      <c r="O247" s="1454"/>
      <c r="P247" s="1454"/>
      <c r="Q247" s="1454"/>
      <c r="R247" s="1454"/>
      <c r="S247" s="1454"/>
      <c r="T247" s="1454"/>
      <c r="V247" s="42" t="s">
        <v>373</v>
      </c>
      <c r="W247" s="1502" t="s">
        <v>2344</v>
      </c>
      <c r="X247" s="1066"/>
      <c r="Y247" s="5" t="s">
        <v>433</v>
      </c>
      <c r="AC247" s="1454">
        <v>95521</v>
      </c>
      <c r="AD247" s="1454"/>
      <c r="AE247" s="1454"/>
      <c r="AN247" s="41"/>
    </row>
    <row r="248" spans="1:67" ht="12.95" customHeight="1">
      <c r="A248" s="28"/>
      <c r="B248" s="5"/>
      <c r="C248" s="5"/>
      <c r="D248" s="5" t="s">
        <v>374</v>
      </c>
      <c r="E248" s="5"/>
      <c r="F248" s="5"/>
      <c r="G248" s="5"/>
      <c r="H248" s="5"/>
      <c r="I248" s="5"/>
      <c r="J248" s="5"/>
      <c r="K248" s="5"/>
      <c r="L248" s="28"/>
      <c r="M248" s="1154" t="s">
        <v>2350</v>
      </c>
      <c r="N248" s="1454"/>
      <c r="O248" s="1454"/>
      <c r="P248" s="1454"/>
      <c r="Q248" s="1454"/>
      <c r="R248" s="1454"/>
      <c r="S248" s="1454"/>
      <c r="T248" s="1454"/>
      <c r="U248" s="1454"/>
      <c r="V248" s="1454"/>
      <c r="W248" s="1454"/>
      <c r="X248" s="1454"/>
      <c r="Y248" s="1454"/>
      <c r="Z248" s="1454"/>
      <c r="AA248" s="1454"/>
      <c r="AB248" s="1454"/>
      <c r="AC248" s="1454"/>
      <c r="AD248" s="1454"/>
      <c r="AE248" s="1454"/>
      <c r="AJ248" s="5"/>
      <c r="AK248" s="5"/>
      <c r="AL248" s="5"/>
      <c r="AN248" s="41"/>
    </row>
    <row r="249" spans="1:67" ht="12.95" customHeight="1">
      <c r="A249" s="28"/>
      <c r="B249" s="5"/>
      <c r="C249" s="5"/>
      <c r="D249" s="5" t="s">
        <v>375</v>
      </c>
      <c r="E249" s="5"/>
      <c r="F249" s="5"/>
      <c r="M249" s="1307">
        <v>7078229000</v>
      </c>
      <c r="N249" s="1307"/>
      <c r="O249" s="1307"/>
      <c r="P249" s="1307"/>
      <c r="Q249" s="1307"/>
      <c r="R249" s="1307"/>
      <c r="S249" s="5" t="s">
        <v>818</v>
      </c>
      <c r="T249" s="5"/>
      <c r="U249" s="1066"/>
      <c r="V249" s="1066"/>
      <c r="W249" s="1066"/>
      <c r="X249" s="5" t="s">
        <v>376</v>
      </c>
      <c r="Z249" s="1307"/>
      <c r="AA249" s="1307"/>
      <c r="AB249" s="1307"/>
      <c r="AC249" s="1307"/>
      <c r="AD249" s="1307"/>
      <c r="AE249" s="1307"/>
      <c r="AM249" s="5"/>
      <c r="AN249" s="41"/>
    </row>
    <row r="250" spans="1:67" ht="12.95" customHeight="1">
      <c r="A250" s="28"/>
      <c r="B250" s="5"/>
      <c r="C250" s="5"/>
      <c r="D250" s="5" t="s">
        <v>377</v>
      </c>
      <c r="E250" s="5"/>
      <c r="F250" s="5"/>
      <c r="M250" s="1455" t="s">
        <v>2346</v>
      </c>
      <c r="N250" s="1455"/>
      <c r="O250" s="1455"/>
      <c r="P250" s="1455"/>
      <c r="Q250" s="1455"/>
      <c r="R250" s="1455"/>
      <c r="S250" s="1455"/>
      <c r="T250" s="1455"/>
      <c r="U250" s="1455"/>
      <c r="V250" s="1455"/>
      <c r="W250" s="1455"/>
      <c r="X250" s="1455"/>
      <c r="Y250" s="1455"/>
      <c r="Z250" s="1455"/>
      <c r="AA250" s="1455"/>
      <c r="AB250" s="1455"/>
      <c r="AC250" s="1455"/>
      <c r="AD250" s="1455"/>
      <c r="AE250" s="1455"/>
      <c r="AG250" s="5"/>
      <c r="AH250" s="5"/>
      <c r="AI250" s="5"/>
      <c r="AJ250" s="5"/>
      <c r="AK250" s="5"/>
      <c r="AL250" s="5"/>
    </row>
    <row r="251" spans="1:67" ht="12.95" customHeight="1">
      <c r="A251" s="18"/>
      <c r="B251" s="5"/>
      <c r="C251" s="62"/>
      <c r="D251" s="5" t="s">
        <v>635</v>
      </c>
      <c r="E251" s="5"/>
      <c r="F251" s="5"/>
      <c r="G251" s="5"/>
      <c r="H251" s="5"/>
      <c r="I251" s="5"/>
      <c r="J251" s="5"/>
      <c r="K251" s="5"/>
      <c r="L251" s="5"/>
      <c r="M251" s="1065" t="s">
        <v>636</v>
      </c>
      <c r="N251" s="1065"/>
      <c r="O251" s="1065"/>
      <c r="P251" s="1065"/>
      <c r="Q251" s="1065"/>
      <c r="R251" s="1065"/>
      <c r="S251" s="1065"/>
      <c r="T251" s="1065"/>
      <c r="U251" s="5" t="s">
        <v>1144</v>
      </c>
      <c r="AA251" s="1515" t="s">
        <v>2357</v>
      </c>
      <c r="AB251" s="1451"/>
      <c r="AC251" s="1451"/>
      <c r="AD251" s="1451"/>
      <c r="AE251" s="1451"/>
      <c r="AF251" s="1451"/>
      <c r="AG251" s="1451"/>
      <c r="AH251" s="1451"/>
      <c r="AI251" s="1451"/>
      <c r="AJ251" s="1451"/>
      <c r="AK251" s="1451"/>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457" t="s">
        <v>2351</v>
      </c>
      <c r="N253" s="1457"/>
      <c r="O253" s="1457"/>
      <c r="P253" s="1457"/>
      <c r="Q253" s="1457"/>
      <c r="R253" s="1457"/>
      <c r="S253" s="1457"/>
      <c r="T253" s="1457"/>
      <c r="U253" s="1457"/>
      <c r="V253" s="1457"/>
      <c r="W253" s="1457"/>
      <c r="X253" s="1457"/>
      <c r="Y253" s="1457"/>
      <c r="Z253" s="1457"/>
      <c r="AA253" s="1457"/>
      <c r="AB253" s="1457"/>
      <c r="AC253" s="1457"/>
      <c r="AD253" s="1457"/>
      <c r="AE253" s="1457"/>
      <c r="AF253" s="1508" t="s">
        <v>2353</v>
      </c>
      <c r="AG253" s="1508"/>
      <c r="AH253" s="1508"/>
      <c r="AI253" s="1508"/>
      <c r="AJ253" s="1508"/>
      <c r="AK253" s="1508"/>
      <c r="AM253" s="5"/>
    </row>
    <row r="254" spans="1:67" ht="12.95" customHeight="1">
      <c r="A254" s="28"/>
      <c r="B254" s="5"/>
      <c r="C254" s="5"/>
      <c r="D254" s="5" t="s">
        <v>372</v>
      </c>
      <c r="E254" s="5"/>
      <c r="F254" s="5"/>
      <c r="G254" s="5"/>
      <c r="H254" s="5"/>
      <c r="I254" s="5"/>
      <c r="J254" s="5"/>
      <c r="K254" s="5"/>
      <c r="L254" s="5"/>
      <c r="M254" s="1454" t="s">
        <v>2352</v>
      </c>
      <c r="N254" s="1454"/>
      <c r="O254" s="1454"/>
      <c r="P254" s="1454"/>
      <c r="Q254" s="1454"/>
      <c r="R254" s="1454"/>
      <c r="S254" s="1454"/>
      <c r="T254" s="1454"/>
      <c r="U254" s="1454"/>
      <c r="V254" s="1454"/>
      <c r="W254" s="1454"/>
      <c r="X254" s="1454"/>
      <c r="Y254" s="1454"/>
      <c r="Z254" s="1454"/>
      <c r="AA254" s="1454"/>
      <c r="AB254" s="1454"/>
      <c r="AC254" s="1454"/>
      <c r="AD254" s="1454"/>
      <c r="AE254" s="1454"/>
      <c r="AL254" s="5"/>
    </row>
    <row r="255" spans="1:67" ht="12.95" customHeight="1">
      <c r="A255" s="28"/>
      <c r="B255" s="5"/>
      <c r="C255" s="5"/>
      <c r="D255" s="5" t="s">
        <v>430</v>
      </c>
      <c r="E255" s="5"/>
      <c r="M255" s="1154" t="s">
        <v>2354</v>
      </c>
      <c r="N255" s="1454"/>
      <c r="O255" s="1454"/>
      <c r="P255" s="1454"/>
      <c r="Q255" s="1454"/>
      <c r="R255" s="1454"/>
      <c r="S255" s="1454"/>
      <c r="T255" s="1454"/>
      <c r="V255" s="42" t="s">
        <v>373</v>
      </c>
      <c r="W255" s="1502" t="s">
        <v>2344</v>
      </c>
      <c r="X255" s="1066"/>
      <c r="Y255" s="5" t="s">
        <v>433</v>
      </c>
      <c r="AC255" s="1454">
        <v>96001</v>
      </c>
      <c r="AD255" s="1454"/>
      <c r="AE255" s="1454"/>
    </row>
    <row r="256" spans="1:67" ht="12.95" customHeight="1">
      <c r="A256" s="28"/>
      <c r="B256" s="5"/>
      <c r="C256" s="5"/>
      <c r="D256" s="5" t="s">
        <v>374</v>
      </c>
      <c r="E256" s="5"/>
      <c r="F256" s="5"/>
      <c r="G256" s="5"/>
      <c r="H256" s="5"/>
      <c r="I256" s="5"/>
      <c r="J256" s="5"/>
      <c r="K256" s="5"/>
      <c r="L256" s="28"/>
      <c r="M256" s="1154" t="s">
        <v>2355</v>
      </c>
      <c r="N256" s="1454"/>
      <c r="O256" s="1454"/>
      <c r="P256" s="1454"/>
      <c r="Q256" s="1454"/>
      <c r="R256" s="1454"/>
      <c r="S256" s="1454"/>
      <c r="T256" s="1454"/>
      <c r="U256" s="1454"/>
      <c r="V256" s="1454"/>
      <c r="W256" s="1454"/>
      <c r="X256" s="1454"/>
      <c r="Y256" s="1454"/>
      <c r="Z256" s="1454"/>
      <c r="AA256" s="1454"/>
      <c r="AB256" s="1454"/>
      <c r="AC256" s="1454"/>
      <c r="AD256" s="1454"/>
      <c r="AE256" s="1454"/>
      <c r="AJ256" s="5"/>
      <c r="AK256" s="5"/>
      <c r="AL256" s="5"/>
    </row>
    <row r="257" spans="1:53" ht="12.95" customHeight="1">
      <c r="A257" s="28"/>
      <c r="B257" s="5"/>
      <c r="C257" s="5"/>
      <c r="D257" s="5" t="s">
        <v>375</v>
      </c>
      <c r="E257" s="5"/>
      <c r="F257" s="5"/>
      <c r="M257" s="1307">
        <v>7078229000</v>
      </c>
      <c r="N257" s="1307"/>
      <c r="O257" s="1307"/>
      <c r="P257" s="1307"/>
      <c r="Q257" s="1307"/>
      <c r="R257" s="1307"/>
      <c r="S257" s="5" t="s">
        <v>818</v>
      </c>
      <c r="T257" s="5"/>
      <c r="U257" s="1066"/>
      <c r="V257" s="1066"/>
      <c r="W257" s="1066"/>
      <c r="X257" s="5" t="s">
        <v>376</v>
      </c>
      <c r="Z257" s="1307"/>
      <c r="AA257" s="1307"/>
      <c r="AB257" s="1307"/>
      <c r="AC257" s="1307"/>
      <c r="AD257" s="1307"/>
      <c r="AE257" s="1307"/>
      <c r="BA257" s="43"/>
    </row>
    <row r="258" spans="1:53" ht="12.95" customHeight="1">
      <c r="A258" s="28"/>
      <c r="B258" s="5"/>
      <c r="C258" s="5"/>
      <c r="D258" s="5" t="s">
        <v>377</v>
      </c>
      <c r="E258" s="5"/>
      <c r="F258" s="5"/>
      <c r="M258" s="1455" t="s">
        <v>2356</v>
      </c>
      <c r="N258" s="1455"/>
      <c r="O258" s="1455"/>
      <c r="P258" s="1455"/>
      <c r="Q258" s="1455"/>
      <c r="R258" s="1455"/>
      <c r="S258" s="1455"/>
      <c r="T258" s="1455"/>
      <c r="U258" s="1455"/>
      <c r="V258" s="1455"/>
      <c r="W258" s="1455"/>
      <c r="X258" s="1455"/>
      <c r="Y258" s="1455"/>
      <c r="Z258" s="1455"/>
      <c r="AA258" s="1455"/>
      <c r="AB258" s="1455"/>
      <c r="AC258" s="1455"/>
      <c r="AD258" s="1455"/>
      <c r="AE258" s="1455"/>
      <c r="AG258" s="5"/>
      <c r="AH258" s="5"/>
      <c r="AI258" s="5"/>
      <c r="AJ258" s="5"/>
      <c r="AK258" s="5"/>
      <c r="AL258" s="5"/>
    </row>
    <row r="259" spans="1:53" ht="12.95" customHeight="1">
      <c r="A259" s="18"/>
      <c r="B259" s="5"/>
      <c r="C259" s="62"/>
      <c r="D259" s="5" t="s">
        <v>635</v>
      </c>
      <c r="E259" s="5"/>
      <c r="F259" s="5"/>
      <c r="G259" s="5"/>
      <c r="H259" s="5"/>
      <c r="I259" s="5"/>
      <c r="J259" s="5"/>
      <c r="K259" s="5"/>
      <c r="L259" s="5"/>
      <c r="M259" s="1065" t="s">
        <v>634</v>
      </c>
      <c r="N259" s="1065"/>
      <c r="O259" s="1065"/>
      <c r="P259" s="1065"/>
      <c r="Q259" s="1065"/>
      <c r="R259" s="1065"/>
      <c r="S259" s="1065"/>
      <c r="T259" s="1065"/>
      <c r="U259" s="5" t="s">
        <v>1144</v>
      </c>
      <c r="AA259" s="1451"/>
      <c r="AB259" s="1451"/>
      <c r="AC259" s="1451"/>
      <c r="AD259" s="1451"/>
      <c r="AE259" s="1451"/>
      <c r="AF259" s="1451"/>
      <c r="AG259" s="1451"/>
      <c r="AH259" s="1451"/>
      <c r="AI259" s="1451"/>
      <c r="AJ259" s="1451"/>
      <c r="AK259" s="1451"/>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1874</v>
      </c>
      <c r="D261" s="5" t="s">
        <v>632</v>
      </c>
      <c r="E261" s="5"/>
      <c r="F261" s="5"/>
      <c r="G261" s="5"/>
      <c r="H261" s="5"/>
      <c r="I261" s="5"/>
      <c r="J261" s="5"/>
      <c r="K261" s="5"/>
      <c r="L261" s="5"/>
      <c r="M261" s="1508"/>
      <c r="N261" s="1508"/>
      <c r="O261" s="1508"/>
      <c r="P261" s="1508"/>
      <c r="Q261" s="1508"/>
      <c r="R261" s="1508"/>
      <c r="S261" s="1508"/>
      <c r="T261" s="1508"/>
      <c r="U261" s="1508"/>
      <c r="V261" s="1508"/>
      <c r="W261" s="1508"/>
      <c r="X261" s="1508"/>
      <c r="Y261" s="1508"/>
      <c r="Z261" s="1508"/>
      <c r="AA261" s="1508"/>
      <c r="AB261" s="1508"/>
      <c r="AC261" s="1508"/>
      <c r="AD261" s="1508"/>
      <c r="AE261" s="1508"/>
      <c r="AF261" s="1508" t="s">
        <v>79</v>
      </c>
      <c r="AG261" s="1508"/>
      <c r="AH261" s="1508"/>
      <c r="AI261" s="1508"/>
      <c r="AJ261" s="1508"/>
      <c r="AK261" s="1508"/>
      <c r="AL261" s="41"/>
    </row>
    <row r="262" spans="1:53" ht="12.95" customHeight="1">
      <c r="A262" s="18"/>
      <c r="B262" s="5"/>
      <c r="C262" s="5"/>
      <c r="D262" s="5" t="s">
        <v>372</v>
      </c>
      <c r="E262" s="5"/>
      <c r="F262" s="5"/>
      <c r="G262" s="5"/>
      <c r="H262" s="5"/>
      <c r="I262" s="5"/>
      <c r="J262" s="5"/>
      <c r="K262" s="5"/>
      <c r="L262" s="5"/>
      <c r="M262" s="1454"/>
      <c r="N262" s="1454"/>
      <c r="O262" s="1454"/>
      <c r="P262" s="1454"/>
      <c r="Q262" s="1454"/>
      <c r="R262" s="1454"/>
      <c r="S262" s="1454"/>
      <c r="T262" s="1454"/>
      <c r="U262" s="1454"/>
      <c r="V262" s="1454"/>
      <c r="W262" s="1454"/>
      <c r="X262" s="1454"/>
      <c r="Y262" s="1454"/>
      <c r="Z262" s="1454"/>
      <c r="AA262" s="1454"/>
      <c r="AB262" s="1454"/>
      <c r="AC262" s="1454"/>
      <c r="AD262" s="1454"/>
      <c r="AE262" s="1454"/>
      <c r="AL262" s="41"/>
      <c r="BA262" s="43"/>
    </row>
    <row r="263" spans="1:53" ht="12.95" customHeight="1">
      <c r="A263" s="18"/>
      <c r="B263" s="5"/>
      <c r="C263" s="5"/>
      <c r="D263" s="5" t="s">
        <v>430</v>
      </c>
      <c r="E263" s="5"/>
      <c r="M263" s="1454"/>
      <c r="N263" s="1454"/>
      <c r="O263" s="1454"/>
      <c r="P263" s="1454"/>
      <c r="Q263" s="1454"/>
      <c r="R263" s="1454"/>
      <c r="S263" s="1454"/>
      <c r="T263" s="1454"/>
      <c r="V263" s="42" t="s">
        <v>373</v>
      </c>
      <c r="W263" s="1066"/>
      <c r="X263" s="1066"/>
      <c r="Y263" s="5" t="s">
        <v>433</v>
      </c>
      <c r="AC263" s="1454"/>
      <c r="AD263" s="1454"/>
      <c r="AE263" s="1454"/>
      <c r="AL263" s="41"/>
      <c r="BA263" s="43"/>
    </row>
    <row r="264" spans="1:53" ht="12.95" customHeight="1">
      <c r="A264" s="18"/>
      <c r="B264" s="5"/>
      <c r="C264" s="5"/>
      <c r="D264" s="5" t="s">
        <v>374</v>
      </c>
      <c r="E264" s="5"/>
      <c r="F264" s="5"/>
      <c r="G264" s="5"/>
      <c r="H264" s="5"/>
      <c r="I264" s="5"/>
      <c r="J264" s="5"/>
      <c r="K264" s="5"/>
      <c r="L264" s="28"/>
      <c r="M264" s="1454"/>
      <c r="N264" s="1454"/>
      <c r="O264" s="1454"/>
      <c r="P264" s="1454"/>
      <c r="Q264" s="1454"/>
      <c r="R264" s="1454"/>
      <c r="S264" s="1454"/>
      <c r="T264" s="1454"/>
      <c r="U264" s="1454"/>
      <c r="V264" s="1454"/>
      <c r="W264" s="1454"/>
      <c r="X264" s="1454"/>
      <c r="Y264" s="1454"/>
      <c r="Z264" s="1454"/>
      <c r="AA264" s="1454"/>
      <c r="AB264" s="1454"/>
      <c r="AC264" s="1454"/>
      <c r="AD264" s="1454"/>
      <c r="AE264" s="1454"/>
      <c r="AJ264" s="5"/>
      <c r="AK264" s="5"/>
      <c r="AL264" s="41"/>
      <c r="BA264" s="43"/>
    </row>
    <row r="265" spans="1:53" ht="12.95" customHeight="1">
      <c r="A265" s="18"/>
      <c r="B265" s="5"/>
      <c r="C265" s="5"/>
      <c r="D265" s="5" t="s">
        <v>375</v>
      </c>
      <c r="E265" s="5"/>
      <c r="F265" s="5"/>
      <c r="M265" s="1307"/>
      <c r="N265" s="1307"/>
      <c r="O265" s="1307"/>
      <c r="P265" s="1307"/>
      <c r="Q265" s="1307"/>
      <c r="R265" s="1307"/>
      <c r="S265" s="5" t="s">
        <v>818</v>
      </c>
      <c r="T265" s="5"/>
      <c r="U265" s="1066"/>
      <c r="V265" s="1066"/>
      <c r="W265" s="1066"/>
      <c r="X265" s="5" t="s">
        <v>376</v>
      </c>
      <c r="Z265" s="1307"/>
      <c r="AA265" s="1307"/>
      <c r="AB265" s="1307"/>
      <c r="AC265" s="1307"/>
      <c r="AD265" s="1307"/>
      <c r="AE265" s="1307"/>
      <c r="AL265" s="41"/>
      <c r="BA265" s="43"/>
    </row>
    <row r="266" spans="1:53" ht="12.95" customHeight="1">
      <c r="A266" s="18"/>
      <c r="B266" s="5"/>
      <c r="C266" s="5"/>
      <c r="D266" s="5" t="s">
        <v>377</v>
      </c>
      <c r="E266" s="5"/>
      <c r="F266" s="5"/>
      <c r="M266" s="1455"/>
      <c r="N266" s="1455"/>
      <c r="O266" s="1455"/>
      <c r="P266" s="1455"/>
      <c r="Q266" s="1455"/>
      <c r="R266" s="1455"/>
      <c r="S266" s="1455"/>
      <c r="T266" s="1455"/>
      <c r="U266" s="1455"/>
      <c r="V266" s="1455"/>
      <c r="W266" s="1455"/>
      <c r="X266" s="1455"/>
      <c r="Y266" s="1455"/>
      <c r="Z266" s="1455"/>
      <c r="AA266" s="1455"/>
      <c r="AB266" s="1455"/>
      <c r="AC266" s="1455"/>
      <c r="AD266" s="1455"/>
      <c r="AE266" s="1455"/>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65" t="s">
        <v>79</v>
      </c>
      <c r="N267" s="1065"/>
      <c r="O267" s="1065"/>
      <c r="P267" s="1065"/>
      <c r="Q267" s="1065"/>
      <c r="R267" s="1065"/>
      <c r="S267" s="1065"/>
      <c r="T267" s="1065"/>
      <c r="U267" s="5" t="s">
        <v>1144</v>
      </c>
      <c r="AA267" s="1451"/>
      <c r="AB267" s="1451"/>
      <c r="AC267" s="1451"/>
      <c r="AD267" s="1451"/>
      <c r="AE267" s="1451"/>
      <c r="AF267" s="1451"/>
      <c r="AG267" s="1451"/>
      <c r="AH267" s="1451"/>
      <c r="AI267" s="1451"/>
      <c r="AJ267" s="1451"/>
      <c r="AK267" s="1451"/>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22" t="str">
        <f>BO245</f>
        <v>Joint Venture</v>
      </c>
      <c r="U269" s="1522"/>
      <c r="V269" s="1522"/>
      <c r="W269" s="1522"/>
      <c r="X269" s="1522"/>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454" t="s">
        <v>892</v>
      </c>
      <c r="E272" s="1454"/>
      <c r="F272" s="1454"/>
      <c r="G272" s="1454"/>
      <c r="H272" s="1454"/>
      <c r="J272" t="s">
        <v>891</v>
      </c>
      <c r="X272" s="1520"/>
      <c r="Y272" s="1520"/>
      <c r="Z272" s="1520"/>
      <c r="AA272" s="1520"/>
      <c r="AB272" s="1520"/>
      <c r="AC272" s="1520"/>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57" t="s">
        <v>2358</v>
      </c>
      <c r="M276" s="1508"/>
      <c r="N276" s="1508"/>
      <c r="O276" s="1508"/>
      <c r="P276" s="1508"/>
      <c r="Q276" s="1508"/>
      <c r="R276" s="1508"/>
      <c r="S276" s="1508"/>
      <c r="T276" s="1508"/>
      <c r="U276" s="1508"/>
      <c r="V276" s="1508"/>
      <c r="W276" s="1508"/>
      <c r="X276" s="1508"/>
      <c r="Y276" s="1508"/>
      <c r="Z276" s="1508"/>
      <c r="AA276" s="1508"/>
      <c r="AB276" s="1508"/>
      <c r="AC276" s="1508"/>
      <c r="AD276" s="1508"/>
      <c r="AE276" s="1508"/>
      <c r="AF276" s="1508"/>
      <c r="AG276" s="1508"/>
      <c r="AH276" s="1508"/>
      <c r="AI276" s="1508"/>
      <c r="AJ276" s="1508"/>
      <c r="AK276" s="41"/>
      <c r="AL276" s="41"/>
      <c r="BA276" s="43"/>
    </row>
    <row r="277" spans="1:53" ht="12.95" customHeight="1">
      <c r="C277"/>
      <c r="D277" s="5" t="s">
        <v>372</v>
      </c>
      <c r="E277" s="5"/>
      <c r="F277" s="5"/>
      <c r="G277" s="5"/>
      <c r="H277" s="5"/>
      <c r="I277" s="5"/>
      <c r="J277" s="5"/>
      <c r="K277" s="5"/>
      <c r="L277" s="1154" t="s">
        <v>2342</v>
      </c>
      <c r="M277" s="1454"/>
      <c r="N277" s="1454"/>
      <c r="O277" s="1454"/>
      <c r="P277" s="1454"/>
      <c r="Q277" s="1454"/>
      <c r="R277" s="1454"/>
      <c r="S277" s="1454"/>
      <c r="T277" s="1454"/>
      <c r="U277" s="1454"/>
      <c r="V277" s="1454"/>
      <c r="W277" s="1454"/>
      <c r="X277" s="1454"/>
      <c r="Y277" s="1454"/>
      <c r="Z277" s="1454"/>
      <c r="AA277" s="1454"/>
      <c r="AB277" s="1454"/>
      <c r="AC277" s="1454"/>
      <c r="AD277" s="1454"/>
      <c r="AK277" s="41"/>
      <c r="AL277" s="41"/>
      <c r="BA277" s="43"/>
    </row>
    <row r="278" spans="1:53" ht="12.95" customHeight="1">
      <c r="C278"/>
      <c r="D278" s="5" t="s">
        <v>430</v>
      </c>
      <c r="E278" s="5"/>
      <c r="L278" s="1154" t="s">
        <v>2349</v>
      </c>
      <c r="M278" s="1454"/>
      <c r="N278" s="1454"/>
      <c r="O278" s="1454"/>
      <c r="P278" s="1454"/>
      <c r="Q278" s="1454"/>
      <c r="R278" s="1454"/>
      <c r="S278" s="1454"/>
      <c r="U278" s="42" t="s">
        <v>373</v>
      </c>
      <c r="V278" s="1502" t="s">
        <v>2344</v>
      </c>
      <c r="W278" s="1066"/>
      <c r="X278" s="5" t="s">
        <v>433</v>
      </c>
      <c r="AB278" s="1454">
        <v>95521</v>
      </c>
      <c r="AC278" s="1454"/>
      <c r="AD278" s="1454"/>
      <c r="AK278" s="41"/>
      <c r="AL278" s="41"/>
      <c r="BA278" s="43"/>
    </row>
    <row r="279" spans="1:53" ht="12.95" customHeight="1">
      <c r="C279"/>
      <c r="D279" s="5" t="s">
        <v>374</v>
      </c>
      <c r="E279" s="5"/>
      <c r="F279" s="5"/>
      <c r="G279" s="5"/>
      <c r="H279" s="5"/>
      <c r="I279" s="5"/>
      <c r="J279" s="5"/>
      <c r="K279" s="28"/>
      <c r="L279" s="1154" t="s">
        <v>2359</v>
      </c>
      <c r="M279" s="1454"/>
      <c r="N279" s="1454"/>
      <c r="O279" s="1454"/>
      <c r="P279" s="1454"/>
      <c r="Q279" s="1454"/>
      <c r="R279" s="1454"/>
      <c r="S279" s="1454"/>
      <c r="T279" s="1454"/>
      <c r="U279" s="1454"/>
      <c r="V279" s="1454"/>
      <c r="W279" s="1454"/>
      <c r="X279" s="1454"/>
      <c r="Y279" s="1454"/>
      <c r="Z279" s="1454"/>
      <c r="AA279" s="1454"/>
      <c r="AB279" s="1454"/>
      <c r="AC279" s="1454"/>
      <c r="AD279" s="1454"/>
      <c r="AI279" s="5"/>
      <c r="AJ279" s="5"/>
      <c r="AK279" s="41"/>
      <c r="AL279" s="41"/>
      <c r="BA279" s="43"/>
    </row>
    <row r="280" spans="1:53" ht="12.95" customHeight="1">
      <c r="C280"/>
      <c r="D280" s="5" t="s">
        <v>375</v>
      </c>
      <c r="E280" s="5"/>
      <c r="F280" s="5"/>
      <c r="L280" s="1307">
        <v>7078229000</v>
      </c>
      <c r="M280" s="1307"/>
      <c r="N280" s="1307"/>
      <c r="O280" s="1307"/>
      <c r="P280" s="1307"/>
      <c r="Q280" s="1307"/>
      <c r="R280" s="5" t="s">
        <v>818</v>
      </c>
      <c r="S280" s="5"/>
      <c r="T280" s="1066"/>
      <c r="U280" s="1066"/>
      <c r="V280" s="1066"/>
      <c r="W280" s="5" t="s">
        <v>376</v>
      </c>
      <c r="Y280" s="1307"/>
      <c r="Z280" s="1307"/>
      <c r="AA280" s="1307"/>
      <c r="AB280" s="1307"/>
      <c r="AC280" s="1307"/>
      <c r="AD280" s="1307"/>
      <c r="BA280" s="43"/>
    </row>
    <row r="281" spans="1:53" ht="12.95" customHeight="1">
      <c r="C281"/>
      <c r="D281" s="5" t="s">
        <v>377</v>
      </c>
      <c r="E281" s="5"/>
      <c r="F281" s="5"/>
      <c r="L281" s="1455" t="s">
        <v>2360</v>
      </c>
      <c r="M281" s="1455"/>
      <c r="N281" s="1455"/>
      <c r="O281" s="1455"/>
      <c r="P281" s="1455"/>
      <c r="Q281" s="1455"/>
      <c r="R281" s="1455"/>
      <c r="S281" s="1455"/>
      <c r="T281" s="1455"/>
      <c r="U281" s="1455"/>
      <c r="V281" s="1455"/>
      <c r="W281" s="1455"/>
      <c r="X281" s="1455"/>
      <c r="Y281" s="1455"/>
      <c r="Z281" s="1455"/>
      <c r="AA281" s="1455"/>
      <c r="AB281" s="1455"/>
      <c r="AC281" s="1455"/>
      <c r="AD281" s="1455"/>
      <c r="AF281" s="5"/>
      <c r="AG281" s="5"/>
      <c r="AH281" s="5"/>
      <c r="AI281" s="5"/>
      <c r="AJ281" s="5"/>
      <c r="BA281" s="43"/>
    </row>
    <row r="282" spans="1:53" ht="12.95" customHeight="1">
      <c r="C282"/>
      <c r="D282" s="41" t="s">
        <v>186</v>
      </c>
      <c r="E282" s="41"/>
      <c r="F282" s="41"/>
      <c r="G282" s="41"/>
      <c r="H282" s="41"/>
      <c r="I282" s="41"/>
      <c r="L282" s="1502" t="s">
        <v>2361</v>
      </c>
      <c r="M282" s="1502"/>
      <c r="N282" s="1502"/>
      <c r="O282" s="1502"/>
      <c r="P282" s="1502"/>
      <c r="Q282" s="1502"/>
      <c r="R282" s="1502"/>
      <c r="S282" s="1502"/>
      <c r="T282" s="1502"/>
      <c r="U282" s="1502"/>
      <c r="V282" s="1502"/>
      <c r="W282" s="1502"/>
      <c r="X282" s="1502"/>
      <c r="Y282" s="1502"/>
      <c r="Z282" s="1502"/>
      <c r="AA282" s="1502"/>
      <c r="AB282" s="1502"/>
      <c r="AC282" s="1502"/>
      <c r="AD282" s="1502"/>
      <c r="AK282" s="41"/>
      <c r="AL282" s="41"/>
      <c r="BA282" s="43"/>
    </row>
    <row r="283" spans="1:53" ht="12.95" customHeight="1">
      <c r="C283"/>
      <c r="L283" s="4" t="s">
        <v>187</v>
      </c>
      <c r="BA283" s="43"/>
    </row>
    <row r="284" spans="1:53" ht="12.95" customHeight="1">
      <c r="A284" s="1134" t="s">
        <v>496</v>
      </c>
      <c r="B284" s="1134"/>
      <c r="C284" s="1134"/>
      <c r="D284" s="1134"/>
      <c r="E284" s="1134"/>
      <c r="F284" s="1134"/>
      <c r="G284" s="1134"/>
      <c r="H284" s="1134"/>
      <c r="I284" s="1134"/>
      <c r="J284" s="1134"/>
      <c r="K284" s="1134"/>
      <c r="L284" s="1134"/>
      <c r="M284" s="1134"/>
      <c r="N284" s="1134"/>
      <c r="O284" s="1134"/>
      <c r="P284" s="1134"/>
      <c r="Q284" s="1134"/>
      <c r="R284" s="1134"/>
      <c r="S284" s="1134"/>
      <c r="T284" s="1134"/>
      <c r="U284" s="1134"/>
      <c r="V284" s="1134"/>
      <c r="W284" s="1134"/>
      <c r="X284" s="1134"/>
      <c r="Y284" s="1134"/>
      <c r="Z284" s="1134"/>
      <c r="AA284" s="1134"/>
      <c r="AB284" s="1134"/>
      <c r="AC284" s="1134"/>
      <c r="AD284" s="1134"/>
      <c r="AE284" s="1134"/>
      <c r="AF284" s="1134"/>
      <c r="AG284" s="1134"/>
      <c r="AH284" s="1134"/>
      <c r="AI284" s="1134"/>
      <c r="AJ284" s="1134"/>
      <c r="AK284" s="1134"/>
      <c r="AL284" s="1134"/>
      <c r="AM284" s="1134"/>
      <c r="AN284" s="1134"/>
      <c r="AO284" s="1134"/>
      <c r="AP284" s="1134"/>
      <c r="AQ284" s="1134"/>
      <c r="AR284" s="1134"/>
      <c r="AS284" s="1134"/>
      <c r="AT284" s="1134"/>
      <c r="BA284" s="43"/>
    </row>
    <row r="285" spans="1:53" ht="12.95" customHeight="1">
      <c r="A285" s="1134"/>
      <c r="B285" s="1134"/>
      <c r="C285" s="1134"/>
      <c r="D285" s="1134"/>
      <c r="E285" s="1134"/>
      <c r="F285" s="1134"/>
      <c r="G285" s="1134"/>
      <c r="H285" s="1134"/>
      <c r="I285" s="1134"/>
      <c r="J285" s="1134"/>
      <c r="K285" s="1134"/>
      <c r="L285" s="1134"/>
      <c r="M285" s="1134"/>
      <c r="N285" s="1134"/>
      <c r="O285" s="1134"/>
      <c r="P285" s="1134"/>
      <c r="Q285" s="1134"/>
      <c r="R285" s="1134"/>
      <c r="S285" s="1134"/>
      <c r="T285" s="1134"/>
      <c r="U285" s="1134"/>
      <c r="V285" s="1134"/>
      <c r="W285" s="1134"/>
      <c r="X285" s="1134"/>
      <c r="Y285" s="1134"/>
      <c r="Z285" s="1134"/>
      <c r="AA285" s="1134"/>
      <c r="AB285" s="1134"/>
      <c r="AC285" s="1134"/>
      <c r="AD285" s="1134"/>
      <c r="AE285" s="1134"/>
      <c r="AF285" s="1134"/>
      <c r="AG285" s="1134"/>
      <c r="AH285" s="1134"/>
      <c r="AI285" s="1134"/>
      <c r="AJ285" s="1134"/>
      <c r="AK285" s="1134"/>
      <c r="AL285" s="1134"/>
      <c r="AM285" s="1134"/>
      <c r="AN285" s="1134"/>
      <c r="AO285" s="1134"/>
      <c r="AP285" s="1134"/>
      <c r="AQ285" s="1134"/>
      <c r="AR285" s="1134"/>
      <c r="AS285" s="1134"/>
      <c r="AT285" s="1134"/>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58" t="s">
        <v>2358</v>
      </c>
      <c r="I289" s="1158"/>
      <c r="J289" s="1158"/>
      <c r="K289" s="1158"/>
      <c r="L289" s="1158"/>
      <c r="M289" s="1158"/>
      <c r="N289" s="1158"/>
      <c r="O289" s="1158"/>
      <c r="P289" s="1158"/>
      <c r="Q289" s="1158"/>
      <c r="R289" s="1158"/>
      <c r="T289" s="41" t="s">
        <v>745</v>
      </c>
      <c r="V289" s="41"/>
      <c r="W289" s="41"/>
      <c r="X289" s="41"/>
      <c r="Y289" s="41"/>
      <c r="AA289" s="1158" t="s">
        <v>2363</v>
      </c>
      <c r="AB289" s="1158"/>
      <c r="AC289" s="1158"/>
      <c r="AD289" s="1158"/>
      <c r="AE289" s="1158"/>
      <c r="AF289" s="1158"/>
      <c r="AG289" s="1158"/>
      <c r="AH289" s="1158"/>
      <c r="AI289" s="1158"/>
      <c r="AJ289" s="1158"/>
      <c r="AK289" s="1158"/>
      <c r="BA289" s="43"/>
    </row>
    <row r="290" spans="2:53" ht="12.95" customHeight="1">
      <c r="B290" s="41" t="s">
        <v>699</v>
      </c>
      <c r="C290" s="41"/>
      <c r="D290" s="41"/>
      <c r="E290" s="41"/>
      <c r="F290" s="41"/>
      <c r="H290" s="1065" t="s">
        <v>2342</v>
      </c>
      <c r="I290" s="1065"/>
      <c r="J290" s="1065"/>
      <c r="K290" s="1065"/>
      <c r="L290" s="1065"/>
      <c r="M290" s="1065"/>
      <c r="N290" s="1065"/>
      <c r="O290" s="1065"/>
      <c r="P290" s="1065"/>
      <c r="Q290" s="1065"/>
      <c r="R290" s="1065"/>
      <c r="T290" s="41" t="s">
        <v>699</v>
      </c>
      <c r="V290" s="41"/>
      <c r="W290" s="41"/>
      <c r="X290" s="41"/>
      <c r="Y290" s="41"/>
      <c r="AA290" s="1065" t="s">
        <v>2364</v>
      </c>
      <c r="AB290" s="1065"/>
      <c r="AC290" s="1065"/>
      <c r="AD290" s="1065"/>
      <c r="AE290" s="1065"/>
      <c r="AF290" s="1065"/>
      <c r="AG290" s="1065"/>
      <c r="AH290" s="1065"/>
      <c r="AI290" s="1065"/>
      <c r="AJ290" s="1065"/>
      <c r="AK290" s="1065"/>
      <c r="BA290" s="43"/>
    </row>
    <row r="291" spans="2:53" ht="12.95" customHeight="1">
      <c r="B291" s="41" t="s">
        <v>701</v>
      </c>
      <c r="C291" s="41"/>
      <c r="D291" s="41"/>
      <c r="E291" s="41"/>
      <c r="F291" s="41"/>
      <c r="H291" s="1065" t="s">
        <v>2362</v>
      </c>
      <c r="I291" s="1065"/>
      <c r="J291" s="1065"/>
      <c r="K291" s="1065"/>
      <c r="L291" s="1065"/>
      <c r="M291" s="1065"/>
      <c r="N291" s="1065"/>
      <c r="O291" s="1065"/>
      <c r="P291" s="1065"/>
      <c r="Q291" s="1065"/>
      <c r="R291" s="1065"/>
      <c r="T291" s="41" t="s">
        <v>700</v>
      </c>
      <c r="V291" s="41"/>
      <c r="W291" s="41"/>
      <c r="X291" s="41"/>
      <c r="Y291" s="41"/>
      <c r="AA291" s="1065" t="s">
        <v>2365</v>
      </c>
      <c r="AB291" s="1065"/>
      <c r="AC291" s="1065"/>
      <c r="AD291" s="1065"/>
      <c r="AE291" s="1065"/>
      <c r="AF291" s="1065"/>
      <c r="AG291" s="1065"/>
      <c r="AH291" s="1065"/>
      <c r="AI291" s="1065"/>
      <c r="AJ291" s="1065"/>
      <c r="AK291" s="1065"/>
      <c r="BA291" s="43"/>
    </row>
    <row r="292" spans="2:53" ht="12.95" customHeight="1">
      <c r="B292" s="41" t="s">
        <v>374</v>
      </c>
      <c r="C292" s="41"/>
      <c r="D292" s="41"/>
      <c r="E292" s="41"/>
      <c r="F292" s="41"/>
      <c r="H292" s="1065" t="s">
        <v>2345</v>
      </c>
      <c r="I292" s="1065"/>
      <c r="J292" s="1065"/>
      <c r="K292" s="1065"/>
      <c r="L292" s="1065"/>
      <c r="M292" s="1065"/>
      <c r="N292" s="1065"/>
      <c r="O292" s="1065"/>
      <c r="P292" s="1065"/>
      <c r="Q292" s="1065"/>
      <c r="R292" s="1065"/>
      <c r="T292" s="41" t="s">
        <v>374</v>
      </c>
      <c r="V292" s="41"/>
      <c r="W292" s="41"/>
      <c r="X292" s="41"/>
      <c r="Y292" s="41"/>
      <c r="AA292" s="1065" t="s">
        <v>2366</v>
      </c>
      <c r="AB292" s="1065"/>
      <c r="AC292" s="1065"/>
      <c r="AD292" s="1065"/>
      <c r="AE292" s="1065"/>
      <c r="AF292" s="1065"/>
      <c r="AG292" s="1065"/>
      <c r="AH292" s="1065"/>
      <c r="AI292" s="1065"/>
      <c r="AJ292" s="1065"/>
      <c r="AK292" s="1065"/>
      <c r="BA292" s="43"/>
    </row>
    <row r="293" spans="2:53" ht="12.95" customHeight="1">
      <c r="B293" s="41" t="s">
        <v>375</v>
      </c>
      <c r="C293" s="41"/>
      <c r="D293" s="41"/>
      <c r="E293" s="41"/>
      <c r="F293" s="41"/>
      <c r="G293" s="41"/>
      <c r="H293" s="1451">
        <v>7078229000</v>
      </c>
      <c r="I293" s="1451"/>
      <c r="J293" s="1451"/>
      <c r="K293" s="1451"/>
      <c r="L293" s="1451"/>
      <c r="M293" s="1451"/>
      <c r="N293" s="5" t="s">
        <v>818</v>
      </c>
      <c r="O293" s="5"/>
      <c r="P293" s="1454"/>
      <c r="Q293" s="1454"/>
      <c r="R293" s="1454"/>
      <c r="S293" s="41"/>
      <c r="T293" s="41" t="s">
        <v>375</v>
      </c>
      <c r="V293" s="41"/>
      <c r="W293" s="41"/>
      <c r="X293" s="41"/>
      <c r="Y293" s="41"/>
      <c r="AA293" s="1451" t="s">
        <v>2367</v>
      </c>
      <c r="AB293" s="1451"/>
      <c r="AC293" s="1451"/>
      <c r="AD293" s="1451"/>
      <c r="AE293" s="1451"/>
      <c r="AF293" s="1451"/>
      <c r="AG293" s="5" t="s">
        <v>818</v>
      </c>
      <c r="AH293" s="5"/>
      <c r="AI293" s="1454"/>
      <c r="AJ293" s="1454"/>
      <c r="AK293" s="1454"/>
      <c r="BA293" s="43"/>
    </row>
    <row r="294" spans="2:53" ht="12.95" customHeight="1">
      <c r="B294" s="41" t="s">
        <v>376</v>
      </c>
      <c r="C294" s="41"/>
      <c r="D294" s="41"/>
      <c r="E294" s="41"/>
      <c r="F294" s="41"/>
      <c r="G294" s="41"/>
      <c r="H294" s="1307"/>
      <c r="I294" s="1307"/>
      <c r="J294" s="1307"/>
      <c r="K294" s="1307"/>
      <c r="L294" s="1307"/>
      <c r="M294" s="1307"/>
      <c r="N294" s="5"/>
      <c r="O294" s="5"/>
      <c r="P294" s="44"/>
      <c r="Q294" s="44"/>
      <c r="R294" s="44"/>
      <c r="S294" s="41"/>
      <c r="T294" s="41" t="s">
        <v>376</v>
      </c>
      <c r="V294" s="41"/>
      <c r="W294" s="41"/>
      <c r="X294" s="41"/>
      <c r="Y294" s="41"/>
      <c r="AA294" s="1307"/>
      <c r="AB294" s="1307"/>
      <c r="AC294" s="1307"/>
      <c r="AD294" s="1307"/>
      <c r="AE294" s="1307"/>
      <c r="AF294" s="1307"/>
      <c r="AG294" s="5"/>
      <c r="AH294" s="5"/>
      <c r="AI294" s="44"/>
      <c r="AJ294" s="44"/>
      <c r="AK294" s="44"/>
      <c r="BA294" s="43"/>
    </row>
    <row r="295" spans="2:53" ht="12.95" customHeight="1">
      <c r="B295" s="41" t="s">
        <v>702</v>
      </c>
      <c r="C295" s="41"/>
      <c r="D295" s="41"/>
      <c r="E295" s="41"/>
      <c r="F295" s="41"/>
      <c r="G295" s="41"/>
      <c r="H295" s="1065" t="s">
        <v>2346</v>
      </c>
      <c r="I295" s="1065"/>
      <c r="J295" s="1065"/>
      <c r="K295" s="1065"/>
      <c r="L295" s="1065"/>
      <c r="M295" s="1065"/>
      <c r="N295" s="1158"/>
      <c r="O295" s="1158"/>
      <c r="P295" s="1158"/>
      <c r="Q295" s="1158"/>
      <c r="R295" s="1158"/>
      <c r="S295" s="41"/>
      <c r="T295" s="41" t="s">
        <v>702</v>
      </c>
      <c r="V295" s="41"/>
      <c r="W295" s="41"/>
      <c r="X295" s="41"/>
      <c r="Y295" s="41"/>
      <c r="AA295" s="1065" t="s">
        <v>2368</v>
      </c>
      <c r="AB295" s="1065"/>
      <c r="AC295" s="1065"/>
      <c r="AD295" s="1065"/>
      <c r="AE295" s="1065"/>
      <c r="AF295" s="1065"/>
      <c r="AG295" s="1158"/>
      <c r="AH295" s="1158"/>
      <c r="AI295" s="1158"/>
      <c r="AJ295" s="1158"/>
      <c r="AK295" s="115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58" t="s">
        <v>2369</v>
      </c>
      <c r="I297" s="1158"/>
      <c r="J297" s="1158"/>
      <c r="K297" s="1158"/>
      <c r="L297" s="1158"/>
      <c r="M297" s="1158"/>
      <c r="N297" s="1158"/>
      <c r="O297" s="1158"/>
      <c r="P297" s="1158"/>
      <c r="Q297" s="1158"/>
      <c r="R297" s="1158"/>
      <c r="T297" s="41" t="s">
        <v>35</v>
      </c>
      <c r="V297" s="41"/>
      <c r="W297" s="41"/>
      <c r="X297" s="41"/>
      <c r="Y297" s="41"/>
      <c r="AA297" s="1158" t="s">
        <v>2381</v>
      </c>
      <c r="AB297" s="1158"/>
      <c r="AC297" s="1158"/>
      <c r="AD297" s="1158"/>
      <c r="AE297" s="1158"/>
      <c r="AF297" s="1158"/>
      <c r="AG297" s="1158"/>
      <c r="AH297" s="1158"/>
      <c r="AI297" s="1158"/>
      <c r="AJ297" s="1158"/>
      <c r="AK297" s="1158"/>
      <c r="BA297" s="43"/>
    </row>
    <row r="298" spans="2:53" ht="12.95" customHeight="1">
      <c r="B298" s="41" t="s">
        <v>699</v>
      </c>
      <c r="C298" s="41"/>
      <c r="D298" s="41"/>
      <c r="E298" s="41"/>
      <c r="F298" s="41"/>
      <c r="H298" s="1065" t="s">
        <v>2370</v>
      </c>
      <c r="I298" s="1065"/>
      <c r="J298" s="1065"/>
      <c r="K298" s="1065"/>
      <c r="L298" s="1065"/>
      <c r="M298" s="1065"/>
      <c r="N298" s="1065"/>
      <c r="O298" s="1065"/>
      <c r="P298" s="1065"/>
      <c r="Q298" s="1065"/>
      <c r="R298" s="1065"/>
      <c r="T298" s="41" t="s">
        <v>699</v>
      </c>
      <c r="V298" s="41"/>
      <c r="W298" s="41"/>
      <c r="X298" s="41"/>
      <c r="Y298" s="41"/>
      <c r="AA298" s="1065" t="s">
        <v>2382</v>
      </c>
      <c r="AB298" s="1065"/>
      <c r="AC298" s="1065"/>
      <c r="AD298" s="1065"/>
      <c r="AE298" s="1065"/>
      <c r="AF298" s="1065"/>
      <c r="AG298" s="1065"/>
      <c r="AH298" s="1065"/>
      <c r="AI298" s="1065"/>
      <c r="AJ298" s="1065"/>
      <c r="AK298" s="1065"/>
      <c r="BA298" s="43"/>
    </row>
    <row r="299" spans="2:53" ht="12.95" customHeight="1">
      <c r="B299" s="41" t="s">
        <v>701</v>
      </c>
      <c r="C299" s="41"/>
      <c r="D299" s="41"/>
      <c r="E299" s="41"/>
      <c r="F299" s="41"/>
      <c r="H299" s="1065" t="s">
        <v>2371</v>
      </c>
      <c r="I299" s="1065"/>
      <c r="J299" s="1065"/>
      <c r="K299" s="1065"/>
      <c r="L299" s="1065"/>
      <c r="M299" s="1065"/>
      <c r="N299" s="1065"/>
      <c r="O299" s="1065"/>
      <c r="P299" s="1065"/>
      <c r="Q299" s="1065"/>
      <c r="R299" s="1065"/>
      <c r="T299" s="41" t="s">
        <v>700</v>
      </c>
      <c r="V299" s="41"/>
      <c r="W299" s="41"/>
      <c r="X299" s="41"/>
      <c r="Y299" s="41"/>
      <c r="AA299" s="1065" t="s">
        <v>2383</v>
      </c>
      <c r="AB299" s="1065"/>
      <c r="AC299" s="1065"/>
      <c r="AD299" s="1065"/>
      <c r="AE299" s="1065"/>
      <c r="AF299" s="1065"/>
      <c r="AG299" s="1065"/>
      <c r="AH299" s="1065"/>
      <c r="AI299" s="1065"/>
      <c r="AJ299" s="1065"/>
      <c r="AK299" s="1065"/>
      <c r="BA299" s="43"/>
    </row>
    <row r="300" spans="2:53" ht="12.95" customHeight="1">
      <c r="B300" s="41" t="s">
        <v>374</v>
      </c>
      <c r="C300" s="41"/>
      <c r="D300" s="41"/>
      <c r="E300" s="41"/>
      <c r="F300" s="41"/>
      <c r="H300" s="1065" t="s">
        <v>2372</v>
      </c>
      <c r="I300" s="1065"/>
      <c r="J300" s="1065"/>
      <c r="K300" s="1065"/>
      <c r="L300" s="1065"/>
      <c r="M300" s="1065"/>
      <c r="N300" s="1065"/>
      <c r="O300" s="1065"/>
      <c r="P300" s="1065"/>
      <c r="Q300" s="1065"/>
      <c r="R300" s="1065"/>
      <c r="T300" s="41" t="s">
        <v>374</v>
      </c>
      <c r="V300" s="41"/>
      <c r="W300" s="41"/>
      <c r="X300" s="41"/>
      <c r="Y300" s="41"/>
      <c r="AA300" s="1065" t="s">
        <v>2350</v>
      </c>
      <c r="AB300" s="1065"/>
      <c r="AC300" s="1065"/>
      <c r="AD300" s="1065"/>
      <c r="AE300" s="1065"/>
      <c r="AF300" s="1065"/>
      <c r="AG300" s="1065"/>
      <c r="AH300" s="1065"/>
      <c r="AI300" s="1065"/>
      <c r="AJ300" s="1065"/>
      <c r="AK300" s="1065"/>
      <c r="BA300" s="43"/>
    </row>
    <row r="301" spans="2:53" ht="12.95" customHeight="1">
      <c r="B301" s="41" t="s">
        <v>375</v>
      </c>
      <c r="C301" s="41"/>
      <c r="D301" s="41"/>
      <c r="E301" s="41"/>
      <c r="F301" s="41"/>
      <c r="G301" s="41"/>
      <c r="H301" s="1451" t="s">
        <v>2373</v>
      </c>
      <c r="I301" s="1451"/>
      <c r="J301" s="1451"/>
      <c r="K301" s="1451"/>
      <c r="L301" s="1451"/>
      <c r="M301" s="1451"/>
      <c r="N301" s="5" t="s">
        <v>818</v>
      </c>
      <c r="O301" s="5"/>
      <c r="P301" s="1454"/>
      <c r="Q301" s="1454"/>
      <c r="R301" s="1454"/>
      <c r="S301" s="41"/>
      <c r="T301" s="41" t="s">
        <v>375</v>
      </c>
      <c r="V301" s="41"/>
      <c r="W301" s="41"/>
      <c r="X301" s="41"/>
      <c r="Y301" s="41"/>
      <c r="AA301" s="1451" t="s">
        <v>2384</v>
      </c>
      <c r="AB301" s="1451"/>
      <c r="AC301" s="1451"/>
      <c r="AD301" s="1451"/>
      <c r="AE301" s="1451"/>
      <c r="AF301" s="1451"/>
      <c r="AG301" s="5" t="s">
        <v>818</v>
      </c>
      <c r="AH301" s="5"/>
      <c r="AI301" s="1454"/>
      <c r="AJ301" s="1454"/>
      <c r="AK301" s="1454"/>
      <c r="BA301" s="43"/>
    </row>
    <row r="302" spans="2:53" ht="12.95" customHeight="1">
      <c r="B302" s="41" t="s">
        <v>376</v>
      </c>
      <c r="C302" s="41"/>
      <c r="D302" s="41"/>
      <c r="E302" s="41"/>
      <c r="F302" s="41"/>
      <c r="G302" s="41"/>
      <c r="H302" s="1307"/>
      <c r="I302" s="1307"/>
      <c r="J302" s="1307"/>
      <c r="K302" s="1307"/>
      <c r="L302" s="1307"/>
      <c r="M302" s="1307"/>
      <c r="N302" s="5"/>
      <c r="O302" s="5"/>
      <c r="P302" s="44"/>
      <c r="Q302" s="44"/>
      <c r="R302" s="44"/>
      <c r="S302" s="41"/>
      <c r="T302" s="41" t="s">
        <v>376</v>
      </c>
      <c r="V302" s="41"/>
      <c r="W302" s="41"/>
      <c r="X302" s="41"/>
      <c r="Y302" s="41"/>
      <c r="AA302" s="1307" t="s">
        <v>2385</v>
      </c>
      <c r="AB302" s="1307"/>
      <c r="AC302" s="1307"/>
      <c r="AD302" s="1307"/>
      <c r="AE302" s="1307"/>
      <c r="AF302" s="1307"/>
      <c r="AG302" s="5"/>
      <c r="AH302" s="5"/>
      <c r="AI302" s="44"/>
      <c r="AJ302" s="44"/>
      <c r="AK302" s="44"/>
      <c r="BA302" s="43"/>
    </row>
    <row r="303" spans="2:53" ht="12.95" customHeight="1">
      <c r="B303" s="41" t="s">
        <v>702</v>
      </c>
      <c r="C303" s="41"/>
      <c r="D303" s="41"/>
      <c r="E303" s="41"/>
      <c r="F303" s="41"/>
      <c r="G303" s="41"/>
      <c r="H303" s="1065" t="s">
        <v>2374</v>
      </c>
      <c r="I303" s="1065"/>
      <c r="J303" s="1065"/>
      <c r="K303" s="1065"/>
      <c r="L303" s="1065"/>
      <c r="M303" s="1065"/>
      <c r="N303" s="1158"/>
      <c r="O303" s="1158"/>
      <c r="P303" s="1158"/>
      <c r="Q303" s="1158"/>
      <c r="R303" s="1158"/>
      <c r="S303" s="41"/>
      <c r="T303" s="41" t="s">
        <v>702</v>
      </c>
      <c r="V303" s="41"/>
      <c r="W303" s="41"/>
      <c r="X303" s="41"/>
      <c r="Y303" s="41"/>
      <c r="AA303" s="1065" t="s">
        <v>2346</v>
      </c>
      <c r="AB303" s="1065"/>
      <c r="AC303" s="1065"/>
      <c r="AD303" s="1065"/>
      <c r="AE303" s="1065"/>
      <c r="AF303" s="1065"/>
      <c r="AG303" s="1158"/>
      <c r="AH303" s="1158"/>
      <c r="AI303" s="1158"/>
      <c r="AJ303" s="1158"/>
      <c r="AK303" s="1158"/>
      <c r="BA303" s="43"/>
    </row>
    <row r="304" spans="2:53" ht="12.95" customHeight="1">
      <c r="C304"/>
      <c r="BA304" s="43"/>
    </row>
    <row r="305" spans="2:53" ht="12.95" customHeight="1">
      <c r="B305" s="41" t="s">
        <v>703</v>
      </c>
      <c r="C305" s="41"/>
      <c r="D305" s="41"/>
      <c r="E305" s="41"/>
      <c r="F305" s="41"/>
      <c r="H305" s="1158" t="s">
        <v>2375</v>
      </c>
      <c r="I305" s="1158"/>
      <c r="J305" s="1158"/>
      <c r="K305" s="1158"/>
      <c r="L305" s="1158"/>
      <c r="M305" s="1158"/>
      <c r="N305" s="1158"/>
      <c r="O305" s="1158"/>
      <c r="P305" s="1158"/>
      <c r="Q305" s="1158"/>
      <c r="R305" s="1158"/>
      <c r="T305" s="5" t="s">
        <v>1105</v>
      </c>
      <c r="V305" s="41"/>
      <c r="W305" s="41"/>
      <c r="X305" s="41"/>
      <c r="Y305" s="41"/>
      <c r="AA305" s="1158" t="s">
        <v>2386</v>
      </c>
      <c r="AB305" s="1158"/>
      <c r="AC305" s="1158"/>
      <c r="AD305" s="1158"/>
      <c r="AE305" s="1158"/>
      <c r="AF305" s="1158"/>
      <c r="AG305" s="1158"/>
      <c r="AH305" s="1158"/>
      <c r="AI305" s="1158"/>
      <c r="AJ305" s="1158"/>
      <c r="AK305" s="1158"/>
      <c r="BA305" s="43"/>
    </row>
    <row r="306" spans="2:53" ht="12.95" customHeight="1">
      <c r="B306" s="41" t="s">
        <v>699</v>
      </c>
      <c r="C306" s="41"/>
      <c r="D306" s="41"/>
      <c r="E306" s="41"/>
      <c r="F306" s="41"/>
      <c r="H306" s="1065" t="s">
        <v>2376</v>
      </c>
      <c r="I306" s="1065"/>
      <c r="J306" s="1065"/>
      <c r="K306" s="1065"/>
      <c r="L306" s="1065"/>
      <c r="M306" s="1065"/>
      <c r="N306" s="1065"/>
      <c r="O306" s="1065"/>
      <c r="P306" s="1065"/>
      <c r="Q306" s="1065"/>
      <c r="R306" s="1065"/>
      <c r="T306" s="41" t="s">
        <v>699</v>
      </c>
      <c r="V306" s="41"/>
      <c r="W306" s="41"/>
      <c r="X306" s="41"/>
      <c r="Y306" s="41"/>
      <c r="AA306" s="1065" t="s">
        <v>2387</v>
      </c>
      <c r="AB306" s="1065"/>
      <c r="AC306" s="1065"/>
      <c r="AD306" s="1065"/>
      <c r="AE306" s="1065"/>
      <c r="AF306" s="1065"/>
      <c r="AG306" s="1065"/>
      <c r="AH306" s="1065"/>
      <c r="AI306" s="1065"/>
      <c r="AJ306" s="1065"/>
      <c r="AK306" s="1065"/>
      <c r="BA306" s="43"/>
    </row>
    <row r="307" spans="2:53" ht="12.95" customHeight="1">
      <c r="B307" s="41" t="s">
        <v>701</v>
      </c>
      <c r="C307" s="41"/>
      <c r="D307" s="41"/>
      <c r="E307" s="41"/>
      <c r="F307" s="41"/>
      <c r="H307" s="1065" t="s">
        <v>2377</v>
      </c>
      <c r="I307" s="1065"/>
      <c r="J307" s="1065"/>
      <c r="K307" s="1065"/>
      <c r="L307" s="1065"/>
      <c r="M307" s="1065"/>
      <c r="N307" s="1065"/>
      <c r="O307" s="1065"/>
      <c r="P307" s="1065"/>
      <c r="Q307" s="1065"/>
      <c r="R307" s="1065"/>
      <c r="T307" s="41" t="s">
        <v>700</v>
      </c>
      <c r="V307" s="41"/>
      <c r="W307" s="41"/>
      <c r="X307" s="41"/>
      <c r="Y307" s="41"/>
      <c r="AA307" s="1065" t="s">
        <v>2383</v>
      </c>
      <c r="AB307" s="1065"/>
      <c r="AC307" s="1065"/>
      <c r="AD307" s="1065"/>
      <c r="AE307" s="1065"/>
      <c r="AF307" s="1065"/>
      <c r="AG307" s="1065"/>
      <c r="AH307" s="1065"/>
      <c r="AI307" s="1065"/>
      <c r="AJ307" s="1065"/>
      <c r="AK307" s="1065"/>
      <c r="BA307" s="43"/>
    </row>
    <row r="308" spans="2:53" ht="12.95" customHeight="1">
      <c r="B308" s="41" t="s">
        <v>374</v>
      </c>
      <c r="C308" s="41"/>
      <c r="D308" s="41"/>
      <c r="E308" s="41"/>
      <c r="F308" s="41"/>
      <c r="H308" s="1065" t="s">
        <v>2378</v>
      </c>
      <c r="I308" s="1065"/>
      <c r="J308" s="1065"/>
      <c r="K308" s="1065"/>
      <c r="L308" s="1065"/>
      <c r="M308" s="1065"/>
      <c r="N308" s="1065"/>
      <c r="O308" s="1065"/>
      <c r="P308" s="1065"/>
      <c r="Q308" s="1065"/>
      <c r="R308" s="1065"/>
      <c r="T308" s="41" t="s">
        <v>374</v>
      </c>
      <c r="V308" s="41"/>
      <c r="W308" s="41"/>
      <c r="X308" s="41"/>
      <c r="Y308" s="41"/>
      <c r="AA308" s="1065" t="s">
        <v>2388</v>
      </c>
      <c r="AB308" s="1065"/>
      <c r="AC308" s="1065"/>
      <c r="AD308" s="1065"/>
      <c r="AE308" s="1065"/>
      <c r="AF308" s="1065"/>
      <c r="AG308" s="1065"/>
      <c r="AH308" s="1065"/>
      <c r="AI308" s="1065"/>
      <c r="AJ308" s="1065"/>
      <c r="AK308" s="1065"/>
      <c r="BA308" s="43"/>
    </row>
    <row r="309" spans="2:53" ht="12.95" customHeight="1">
      <c r="B309" s="41" t="s">
        <v>375</v>
      </c>
      <c r="C309" s="41"/>
      <c r="D309" s="41"/>
      <c r="E309" s="41"/>
      <c r="F309" s="41"/>
      <c r="G309" s="41"/>
      <c r="H309" s="1451" t="s">
        <v>2379</v>
      </c>
      <c r="I309" s="1451"/>
      <c r="J309" s="1451"/>
      <c r="K309" s="1451"/>
      <c r="L309" s="1451"/>
      <c r="M309" s="1451"/>
      <c r="N309" s="5" t="s">
        <v>818</v>
      </c>
      <c r="O309" s="5"/>
      <c r="P309" s="1454"/>
      <c r="Q309" s="1454"/>
      <c r="R309" s="1454"/>
      <c r="S309" s="41"/>
      <c r="T309" s="41" t="s">
        <v>375</v>
      </c>
      <c r="V309" s="41"/>
      <c r="W309" s="41"/>
      <c r="X309" s="41"/>
      <c r="Y309" s="41"/>
      <c r="AA309" s="1451" t="s">
        <v>2389</v>
      </c>
      <c r="AB309" s="1451"/>
      <c r="AC309" s="1451"/>
      <c r="AD309" s="1451"/>
      <c r="AE309" s="1451"/>
      <c r="AF309" s="1451"/>
      <c r="AG309" s="5" t="s">
        <v>818</v>
      </c>
      <c r="AH309" s="5"/>
      <c r="AI309" s="1454"/>
      <c r="AJ309" s="1454"/>
      <c r="AK309" s="1454"/>
      <c r="BA309" s="43"/>
    </row>
    <row r="310" spans="2:53" ht="12.95" customHeight="1">
      <c r="B310" s="41" t="s">
        <v>376</v>
      </c>
      <c r="C310" s="41"/>
      <c r="D310" s="41"/>
      <c r="E310" s="41"/>
      <c r="F310" s="41"/>
      <c r="G310" s="41"/>
      <c r="H310" s="1307"/>
      <c r="I310" s="1307"/>
      <c r="J310" s="1307"/>
      <c r="K310" s="1307"/>
      <c r="L310" s="1307"/>
      <c r="M310" s="1307"/>
      <c r="N310" s="5"/>
      <c r="O310" s="5"/>
      <c r="P310" s="44"/>
      <c r="Q310" s="44"/>
      <c r="R310" s="44"/>
      <c r="S310" s="41"/>
      <c r="T310" s="41" t="s">
        <v>376</v>
      </c>
      <c r="V310" s="41"/>
      <c r="W310" s="41"/>
      <c r="X310" s="41"/>
      <c r="Y310" s="41"/>
      <c r="AA310" s="1307"/>
      <c r="AB310" s="1307"/>
      <c r="AC310" s="1307"/>
      <c r="AD310" s="1307"/>
      <c r="AE310" s="1307"/>
      <c r="AF310" s="1307"/>
      <c r="AG310" s="5"/>
      <c r="AH310" s="5"/>
      <c r="AI310" s="44"/>
      <c r="AJ310" s="44"/>
      <c r="AK310" s="44"/>
      <c r="BA310" s="43"/>
    </row>
    <row r="311" spans="2:53" ht="12.95" customHeight="1">
      <c r="B311" s="41" t="s">
        <v>702</v>
      </c>
      <c r="C311" s="41"/>
      <c r="D311" s="41"/>
      <c r="E311" s="41"/>
      <c r="F311" s="41"/>
      <c r="G311" s="41"/>
      <c r="H311" s="1065" t="s">
        <v>2380</v>
      </c>
      <c r="I311" s="1065"/>
      <c r="J311" s="1065"/>
      <c r="K311" s="1065"/>
      <c r="L311" s="1065"/>
      <c r="M311" s="1065"/>
      <c r="N311" s="1158"/>
      <c r="O311" s="1158"/>
      <c r="P311" s="1158"/>
      <c r="Q311" s="1158"/>
      <c r="R311" s="1158"/>
      <c r="S311" s="41"/>
      <c r="T311" s="41" t="s">
        <v>702</v>
      </c>
      <c r="V311" s="41"/>
      <c r="W311" s="41"/>
      <c r="X311" s="41"/>
      <c r="Y311" s="41"/>
      <c r="AA311" s="1065" t="s">
        <v>2390</v>
      </c>
      <c r="AB311" s="1065"/>
      <c r="AC311" s="1065"/>
      <c r="AD311" s="1065"/>
      <c r="AE311" s="1065"/>
      <c r="AF311" s="1065"/>
      <c r="AG311" s="1158"/>
      <c r="AH311" s="1158"/>
      <c r="AI311" s="1158"/>
      <c r="AJ311" s="1158"/>
      <c r="AK311" s="1158"/>
      <c r="BA311" s="43"/>
    </row>
    <row r="312" spans="2:53" ht="12.95" customHeight="1">
      <c r="C312"/>
      <c r="BA312" s="43"/>
    </row>
    <row r="313" spans="2:53" ht="12.95" customHeight="1">
      <c r="B313" s="5" t="s">
        <v>1146</v>
      </c>
      <c r="C313" s="41"/>
      <c r="D313" s="41"/>
      <c r="E313" s="41"/>
      <c r="F313" s="41"/>
      <c r="H313" s="1158"/>
      <c r="I313" s="1158"/>
      <c r="J313" s="1158"/>
      <c r="K313" s="1158"/>
      <c r="L313" s="1158"/>
      <c r="M313" s="1158"/>
      <c r="N313" s="1158"/>
      <c r="O313" s="1158"/>
      <c r="P313" s="1158"/>
      <c r="Q313" s="1158"/>
      <c r="R313" s="1158"/>
      <c r="T313" s="41" t="s">
        <v>36</v>
      </c>
      <c r="V313" s="41"/>
      <c r="W313" s="41"/>
      <c r="X313" s="41"/>
      <c r="Y313" s="41"/>
      <c r="AA313" s="1158" t="s">
        <v>2391</v>
      </c>
      <c r="AB313" s="1158"/>
      <c r="AC313" s="1158"/>
      <c r="AD313" s="1158"/>
      <c r="AE313" s="1158"/>
      <c r="AF313" s="1158"/>
      <c r="AG313" s="1158"/>
      <c r="AH313" s="1158"/>
      <c r="AI313" s="1158"/>
      <c r="AJ313" s="1158"/>
      <c r="AK313" s="1158"/>
      <c r="BA313" s="43"/>
    </row>
    <row r="314" spans="2:53" ht="12.95" customHeight="1">
      <c r="B314" s="41" t="s">
        <v>699</v>
      </c>
      <c r="C314" s="41"/>
      <c r="D314" s="41"/>
      <c r="E314" s="41"/>
      <c r="F314" s="41"/>
      <c r="H314" s="1065"/>
      <c r="I314" s="1065"/>
      <c r="J314" s="1065"/>
      <c r="K314" s="1065"/>
      <c r="L314" s="1065"/>
      <c r="M314" s="1065"/>
      <c r="N314" s="1065"/>
      <c r="O314" s="1065"/>
      <c r="P314" s="1065"/>
      <c r="Q314" s="1065"/>
      <c r="R314" s="1065"/>
      <c r="T314" s="41" t="s">
        <v>699</v>
      </c>
      <c r="V314" s="41"/>
      <c r="W314" s="41"/>
      <c r="X314" s="41"/>
      <c r="Y314" s="41"/>
      <c r="AA314" s="1065" t="s">
        <v>2392</v>
      </c>
      <c r="AB314" s="1065"/>
      <c r="AC314" s="1065"/>
      <c r="AD314" s="1065"/>
      <c r="AE314" s="1065"/>
      <c r="AF314" s="1065"/>
      <c r="AG314" s="1065"/>
      <c r="AH314" s="1065"/>
      <c r="AI314" s="1065"/>
      <c r="AJ314" s="1065"/>
      <c r="AK314" s="1065"/>
      <c r="BA314" s="43"/>
    </row>
    <row r="315" spans="2:53" ht="12.95" customHeight="1">
      <c r="B315" s="41" t="s">
        <v>701</v>
      </c>
      <c r="C315" s="41"/>
      <c r="D315" s="41"/>
      <c r="E315" s="41"/>
      <c r="F315" s="41"/>
      <c r="H315" s="1065"/>
      <c r="I315" s="1065"/>
      <c r="J315" s="1065"/>
      <c r="K315" s="1065"/>
      <c r="L315" s="1065"/>
      <c r="M315" s="1065"/>
      <c r="N315" s="1065"/>
      <c r="O315" s="1065"/>
      <c r="P315" s="1065"/>
      <c r="Q315" s="1065"/>
      <c r="R315" s="1065"/>
      <c r="T315" s="41" t="s">
        <v>700</v>
      </c>
      <c r="V315" s="41"/>
      <c r="W315" s="41"/>
      <c r="X315" s="41"/>
      <c r="Y315" s="41"/>
      <c r="AA315" s="1065" t="s">
        <v>2393</v>
      </c>
      <c r="AB315" s="1065"/>
      <c r="AC315" s="1065"/>
      <c r="AD315" s="1065"/>
      <c r="AE315" s="1065"/>
      <c r="AF315" s="1065"/>
      <c r="AG315" s="1065"/>
      <c r="AH315" s="1065"/>
      <c r="AI315" s="1065"/>
      <c r="AJ315" s="1065"/>
      <c r="AK315" s="1065"/>
      <c r="BA315" s="43"/>
    </row>
    <row r="316" spans="2:53" ht="12.95" customHeight="1">
      <c r="B316" s="41" t="s">
        <v>374</v>
      </c>
      <c r="C316" s="41"/>
      <c r="D316" s="41"/>
      <c r="E316" s="41"/>
      <c r="F316" s="41"/>
      <c r="H316" s="1065"/>
      <c r="I316" s="1065"/>
      <c r="J316" s="1065"/>
      <c r="K316" s="1065"/>
      <c r="L316" s="1065"/>
      <c r="M316" s="1065"/>
      <c r="N316" s="1065"/>
      <c r="O316" s="1065"/>
      <c r="P316" s="1065"/>
      <c r="Q316" s="1065"/>
      <c r="R316" s="1065"/>
      <c r="T316" s="41" t="s">
        <v>374</v>
      </c>
      <c r="V316" s="41"/>
      <c r="W316" s="41"/>
      <c r="X316" s="41"/>
      <c r="Y316" s="41"/>
      <c r="AA316" s="1065" t="s">
        <v>2394</v>
      </c>
      <c r="AB316" s="1065"/>
      <c r="AC316" s="1065"/>
      <c r="AD316" s="1065"/>
      <c r="AE316" s="1065"/>
      <c r="AF316" s="1065"/>
      <c r="AG316" s="1065"/>
      <c r="AH316" s="1065"/>
      <c r="AI316" s="1065"/>
      <c r="AJ316" s="1065"/>
      <c r="AK316" s="1065"/>
      <c r="BA316" s="43"/>
    </row>
    <row r="317" spans="2:53" ht="12.95" customHeight="1">
      <c r="B317" s="41" t="s">
        <v>375</v>
      </c>
      <c r="C317" s="41"/>
      <c r="D317" s="41"/>
      <c r="E317" s="41"/>
      <c r="F317" s="41"/>
      <c r="G317" s="41"/>
      <c r="H317" s="1451"/>
      <c r="I317" s="1451"/>
      <c r="J317" s="1451"/>
      <c r="K317" s="1451"/>
      <c r="L317" s="1451"/>
      <c r="M317" s="1451"/>
      <c r="N317" s="5" t="s">
        <v>818</v>
      </c>
      <c r="O317" s="5"/>
      <c r="P317" s="1454"/>
      <c r="Q317" s="1454"/>
      <c r="R317" s="1454"/>
      <c r="S317" s="41"/>
      <c r="T317" s="41" t="s">
        <v>375</v>
      </c>
      <c r="V317" s="41"/>
      <c r="W317" s="41"/>
      <c r="X317" s="41"/>
      <c r="Y317" s="41"/>
      <c r="AA317" s="1451" t="s">
        <v>2395</v>
      </c>
      <c r="AB317" s="1451"/>
      <c r="AC317" s="1451"/>
      <c r="AD317" s="1451"/>
      <c r="AE317" s="1451"/>
      <c r="AF317" s="1451"/>
      <c r="AG317" s="5" t="s">
        <v>818</v>
      </c>
      <c r="AH317" s="5"/>
      <c r="AI317" s="1454"/>
      <c r="AJ317" s="1454"/>
      <c r="AK317" s="1454"/>
      <c r="BA317" s="43"/>
    </row>
    <row r="318" spans="2:53" ht="12.95" customHeight="1">
      <c r="B318" s="41" t="s">
        <v>376</v>
      </c>
      <c r="C318" s="41"/>
      <c r="D318" s="41"/>
      <c r="E318" s="41"/>
      <c r="F318" s="41"/>
      <c r="G318" s="41"/>
      <c r="H318" s="1307"/>
      <c r="I318" s="1307"/>
      <c r="J318" s="1307"/>
      <c r="K318" s="1307"/>
      <c r="L318" s="1307"/>
      <c r="M318" s="1307"/>
      <c r="N318" s="5"/>
      <c r="O318" s="5"/>
      <c r="P318" s="44"/>
      <c r="Q318" s="44"/>
      <c r="R318" s="44"/>
      <c r="S318" s="41"/>
      <c r="T318" s="41" t="s">
        <v>376</v>
      </c>
      <c r="V318" s="41"/>
      <c r="W318" s="41"/>
      <c r="X318" s="41"/>
      <c r="Y318" s="41"/>
      <c r="AA318" s="1307"/>
      <c r="AB318" s="1307"/>
      <c r="AC318" s="1307"/>
      <c r="AD318" s="1307"/>
      <c r="AE318" s="1307"/>
      <c r="AF318" s="1307"/>
      <c r="AG318" s="5"/>
      <c r="AH318" s="5"/>
      <c r="AI318" s="44"/>
      <c r="AJ318" s="44"/>
      <c r="AK318" s="44"/>
      <c r="BA318" s="43"/>
    </row>
    <row r="319" spans="2:53" ht="12.95" customHeight="1">
      <c r="B319" s="41" t="s">
        <v>702</v>
      </c>
      <c r="C319" s="41"/>
      <c r="D319" s="41"/>
      <c r="E319" s="41"/>
      <c r="F319" s="41"/>
      <c r="G319" s="41"/>
      <c r="H319" s="1065"/>
      <c r="I319" s="1065"/>
      <c r="J319" s="1065"/>
      <c r="K319" s="1065"/>
      <c r="L319" s="1065"/>
      <c r="M319" s="1065"/>
      <c r="N319" s="1158"/>
      <c r="O319" s="1158"/>
      <c r="P319" s="1158"/>
      <c r="Q319" s="1158"/>
      <c r="R319" s="1158"/>
      <c r="S319" s="41"/>
      <c r="T319" s="41" t="s">
        <v>702</v>
      </c>
      <c r="V319" s="41"/>
      <c r="W319" s="41"/>
      <c r="X319" s="41"/>
      <c r="Y319" s="41"/>
      <c r="AA319" s="1065" t="s">
        <v>2396</v>
      </c>
      <c r="AB319" s="1065"/>
      <c r="AC319" s="1065"/>
      <c r="AD319" s="1065"/>
      <c r="AE319" s="1065"/>
      <c r="AF319" s="1065"/>
      <c r="AG319" s="1158"/>
      <c r="AH319" s="1158"/>
      <c r="AI319" s="1158"/>
      <c r="AJ319" s="1158"/>
      <c r="AK319" s="1158"/>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158"/>
      <c r="I321" s="1158"/>
      <c r="J321" s="1158"/>
      <c r="K321" s="1158"/>
      <c r="L321" s="1158"/>
      <c r="M321" s="1158"/>
      <c r="N321" s="1158"/>
      <c r="O321" s="1158"/>
      <c r="P321" s="1158"/>
      <c r="Q321" s="1158"/>
      <c r="R321" s="1158"/>
      <c r="T321" s="41" t="s">
        <v>37</v>
      </c>
      <c r="V321" s="41"/>
      <c r="W321" s="41"/>
      <c r="X321" s="41"/>
      <c r="Y321" s="41"/>
      <c r="AA321" s="1158" t="s">
        <v>2397</v>
      </c>
      <c r="AB321" s="1158"/>
      <c r="AC321" s="1158"/>
      <c r="AD321" s="1158"/>
      <c r="AE321" s="1158"/>
      <c r="AF321" s="1158"/>
      <c r="AG321" s="1158"/>
      <c r="AH321" s="1158"/>
      <c r="AI321" s="1158"/>
      <c r="AJ321" s="1158"/>
      <c r="AK321" s="1158"/>
      <c r="BA321" s="43"/>
    </row>
    <row r="322" spans="2:53" ht="12.95" customHeight="1">
      <c r="B322" s="41" t="s">
        <v>699</v>
      </c>
      <c r="C322" s="41"/>
      <c r="D322" s="41"/>
      <c r="E322" s="41"/>
      <c r="F322" s="41"/>
      <c r="H322" s="1065"/>
      <c r="I322" s="1065"/>
      <c r="J322" s="1065"/>
      <c r="K322" s="1065"/>
      <c r="L322" s="1065"/>
      <c r="M322" s="1065"/>
      <c r="N322" s="1065"/>
      <c r="O322" s="1065"/>
      <c r="P322" s="1065"/>
      <c r="Q322" s="1065"/>
      <c r="R322" s="1065"/>
      <c r="T322" s="41" t="s">
        <v>699</v>
      </c>
      <c r="V322" s="41"/>
      <c r="W322" s="41"/>
      <c r="X322" s="41"/>
      <c r="Y322" s="41"/>
      <c r="AA322" s="1065" t="s">
        <v>2398</v>
      </c>
      <c r="AB322" s="1065"/>
      <c r="AC322" s="1065"/>
      <c r="AD322" s="1065"/>
      <c r="AE322" s="1065"/>
      <c r="AF322" s="1065"/>
      <c r="AG322" s="1065"/>
      <c r="AH322" s="1065"/>
      <c r="AI322" s="1065"/>
      <c r="AJ322" s="1065"/>
      <c r="AK322" s="1065"/>
      <c r="BA322" s="43"/>
    </row>
    <row r="323" spans="2:53" ht="12.95" customHeight="1">
      <c r="B323" s="41" t="s">
        <v>701</v>
      </c>
      <c r="C323" s="41"/>
      <c r="D323" s="41"/>
      <c r="E323" s="41"/>
      <c r="F323" s="41"/>
      <c r="H323" s="1065"/>
      <c r="I323" s="1065"/>
      <c r="J323" s="1065"/>
      <c r="K323" s="1065"/>
      <c r="L323" s="1065"/>
      <c r="M323" s="1065"/>
      <c r="N323" s="1065"/>
      <c r="O323" s="1065"/>
      <c r="P323" s="1065"/>
      <c r="Q323" s="1065"/>
      <c r="R323" s="1065"/>
      <c r="T323" s="41" t="s">
        <v>700</v>
      </c>
      <c r="V323" s="41"/>
      <c r="W323" s="41"/>
      <c r="X323" s="41"/>
      <c r="Y323" s="41"/>
      <c r="AA323" s="1065" t="s">
        <v>2399</v>
      </c>
      <c r="AB323" s="1065"/>
      <c r="AC323" s="1065"/>
      <c r="AD323" s="1065"/>
      <c r="AE323" s="1065"/>
      <c r="AF323" s="1065"/>
      <c r="AG323" s="1065"/>
      <c r="AH323" s="1065"/>
      <c r="AI323" s="1065"/>
      <c r="AJ323" s="1065"/>
      <c r="AK323" s="1065"/>
      <c r="BA323" s="43"/>
    </row>
    <row r="324" spans="2:53" ht="12.95" customHeight="1">
      <c r="B324" s="41" t="s">
        <v>374</v>
      </c>
      <c r="C324" s="41"/>
      <c r="D324" s="41"/>
      <c r="E324" s="41"/>
      <c r="F324" s="41"/>
      <c r="H324" s="1065"/>
      <c r="I324" s="1065"/>
      <c r="J324" s="1065"/>
      <c r="K324" s="1065"/>
      <c r="L324" s="1065"/>
      <c r="M324" s="1065"/>
      <c r="N324" s="1065"/>
      <c r="O324" s="1065"/>
      <c r="P324" s="1065"/>
      <c r="Q324" s="1065"/>
      <c r="R324" s="1065"/>
      <c r="T324" s="41" t="s">
        <v>374</v>
      </c>
      <c r="V324" s="41"/>
      <c r="W324" s="41"/>
      <c r="X324" s="41"/>
      <c r="Y324" s="41"/>
      <c r="AA324" s="1065" t="s">
        <v>2400</v>
      </c>
      <c r="AB324" s="1065"/>
      <c r="AC324" s="1065"/>
      <c r="AD324" s="1065"/>
      <c r="AE324" s="1065"/>
      <c r="AF324" s="1065"/>
      <c r="AG324" s="1065"/>
      <c r="AH324" s="1065"/>
      <c r="AI324" s="1065"/>
      <c r="AJ324" s="1065"/>
      <c r="AK324" s="1065"/>
      <c r="BA324" s="43"/>
    </row>
    <row r="325" spans="2:53" ht="12.95" customHeight="1">
      <c r="B325" s="41" t="s">
        <v>375</v>
      </c>
      <c r="C325" s="41"/>
      <c r="D325" s="41"/>
      <c r="E325" s="41"/>
      <c r="F325" s="41"/>
      <c r="G325" s="41"/>
      <c r="H325" s="1451"/>
      <c r="I325" s="1451"/>
      <c r="J325" s="1451"/>
      <c r="K325" s="1451"/>
      <c r="L325" s="1451"/>
      <c r="M325" s="1451"/>
      <c r="N325" s="5" t="s">
        <v>818</v>
      </c>
      <c r="O325" s="5"/>
      <c r="P325" s="1454"/>
      <c r="Q325" s="1454"/>
      <c r="R325" s="1454"/>
      <c r="S325" s="41"/>
      <c r="T325" s="41" t="s">
        <v>375</v>
      </c>
      <c r="V325" s="41"/>
      <c r="W325" s="41"/>
      <c r="X325" s="41"/>
      <c r="Y325" s="41"/>
      <c r="AA325" s="1451" t="s">
        <v>2401</v>
      </c>
      <c r="AB325" s="1451"/>
      <c r="AC325" s="1451"/>
      <c r="AD325" s="1451"/>
      <c r="AE325" s="1451"/>
      <c r="AF325" s="1451"/>
      <c r="AG325" s="5" t="s">
        <v>818</v>
      </c>
      <c r="AH325" s="5"/>
      <c r="AI325" s="1454"/>
      <c r="AJ325" s="1454"/>
      <c r="AK325" s="1454"/>
      <c r="BA325" s="43"/>
    </row>
    <row r="326" spans="2:53" ht="12.95" customHeight="1">
      <c r="B326" s="41" t="s">
        <v>376</v>
      </c>
      <c r="C326" s="41"/>
      <c r="D326" s="41"/>
      <c r="E326" s="41"/>
      <c r="F326" s="41"/>
      <c r="G326" s="41"/>
      <c r="H326" s="1307"/>
      <c r="I326" s="1307"/>
      <c r="J326" s="1307"/>
      <c r="K326" s="1307"/>
      <c r="L326" s="1307"/>
      <c r="M326" s="1307"/>
      <c r="N326" s="5"/>
      <c r="O326" s="5"/>
      <c r="P326" s="44"/>
      <c r="Q326" s="44"/>
      <c r="R326" s="44"/>
      <c r="S326" s="41"/>
      <c r="T326" s="41" t="s">
        <v>376</v>
      </c>
      <c r="V326" s="41"/>
      <c r="W326" s="41"/>
      <c r="X326" s="41"/>
      <c r="Y326" s="41"/>
      <c r="AA326" s="1307" t="s">
        <v>2402</v>
      </c>
      <c r="AB326" s="1307"/>
      <c r="AC326" s="1307"/>
      <c r="AD326" s="1307"/>
      <c r="AE326" s="1307"/>
      <c r="AF326" s="1307"/>
      <c r="AG326" s="5"/>
      <c r="AH326" s="5"/>
      <c r="AI326" s="44"/>
      <c r="AJ326" s="44"/>
      <c r="AK326" s="44"/>
      <c r="BA326" s="43"/>
    </row>
    <row r="327" spans="2:53" ht="12.95" customHeight="1">
      <c r="B327" s="41" t="s">
        <v>702</v>
      </c>
      <c r="C327" s="41"/>
      <c r="D327" s="41"/>
      <c r="E327" s="41"/>
      <c r="F327" s="41"/>
      <c r="G327" s="41"/>
      <c r="H327" s="1065"/>
      <c r="I327" s="1065"/>
      <c r="J327" s="1065"/>
      <c r="K327" s="1065"/>
      <c r="L327" s="1065"/>
      <c r="M327" s="1065"/>
      <c r="N327" s="1158"/>
      <c r="O327" s="1158"/>
      <c r="P327" s="1158"/>
      <c r="Q327" s="1158"/>
      <c r="R327" s="1158"/>
      <c r="S327" s="41"/>
      <c r="T327" s="41" t="s">
        <v>702</v>
      </c>
      <c r="V327" s="41"/>
      <c r="W327" s="41"/>
      <c r="X327" s="41"/>
      <c r="Y327" s="41"/>
      <c r="AA327" s="1065" t="s">
        <v>2403</v>
      </c>
      <c r="AB327" s="1065"/>
      <c r="AC327" s="1065"/>
      <c r="AD327" s="1065"/>
      <c r="AE327" s="1065"/>
      <c r="AF327" s="1065"/>
      <c r="AG327" s="1158"/>
      <c r="AH327" s="1158"/>
      <c r="AI327" s="1158"/>
      <c r="AJ327" s="1158"/>
      <c r="AK327" s="1158"/>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58"/>
      <c r="I329" s="1158"/>
      <c r="J329" s="1158"/>
      <c r="K329" s="1158"/>
      <c r="L329" s="1158"/>
      <c r="M329" s="1158"/>
      <c r="N329" s="1158"/>
      <c r="O329" s="1158"/>
      <c r="P329" s="1158"/>
      <c r="Q329" s="1158"/>
      <c r="R329" s="1158"/>
      <c r="T329" s="5" t="s">
        <v>1106</v>
      </c>
      <c r="V329" s="41"/>
      <c r="W329" s="41"/>
      <c r="X329" s="41"/>
      <c r="Y329" s="41"/>
      <c r="AA329" s="1158" t="s">
        <v>2404</v>
      </c>
      <c r="AB329" s="1158"/>
      <c r="AC329" s="1158"/>
      <c r="AD329" s="1158"/>
      <c r="AE329" s="1158"/>
      <c r="AF329" s="1158"/>
      <c r="AG329" s="1158"/>
      <c r="AH329" s="1158"/>
      <c r="AI329" s="1158"/>
      <c r="AJ329" s="1158"/>
      <c r="AK329" s="1158"/>
      <c r="BA329" s="43"/>
    </row>
    <row r="330" spans="2:53" ht="12.95" customHeight="1">
      <c r="B330" s="41" t="s">
        <v>699</v>
      </c>
      <c r="C330" s="41"/>
      <c r="D330" s="41"/>
      <c r="E330" s="41"/>
      <c r="F330" s="41"/>
      <c r="H330" s="1065"/>
      <c r="I330" s="1065"/>
      <c r="J330" s="1065"/>
      <c r="K330" s="1065"/>
      <c r="L330" s="1065"/>
      <c r="M330" s="1065"/>
      <c r="N330" s="1065"/>
      <c r="O330" s="1065"/>
      <c r="P330" s="1065"/>
      <c r="Q330" s="1065"/>
      <c r="R330" s="1065"/>
      <c r="T330" s="41" t="s">
        <v>699</v>
      </c>
      <c r="V330" s="41"/>
      <c r="W330" s="41"/>
      <c r="X330" s="41"/>
      <c r="Y330" s="41"/>
      <c r="AA330" s="1065" t="s">
        <v>2382</v>
      </c>
      <c r="AB330" s="1065"/>
      <c r="AC330" s="1065"/>
      <c r="AD330" s="1065"/>
      <c r="AE330" s="1065"/>
      <c r="AF330" s="1065"/>
      <c r="AG330" s="1065"/>
      <c r="AH330" s="1065"/>
      <c r="AI330" s="1065"/>
      <c r="AJ330" s="1065"/>
      <c r="AK330" s="1065"/>
      <c r="BA330" s="43"/>
    </row>
    <row r="331" spans="2:53" ht="12.95" customHeight="1">
      <c r="B331" s="41" t="s">
        <v>701</v>
      </c>
      <c r="C331" s="41"/>
      <c r="D331" s="41"/>
      <c r="E331" s="41"/>
      <c r="F331" s="41"/>
      <c r="G331" s="41"/>
      <c r="H331" s="1065"/>
      <c r="I331" s="1065"/>
      <c r="J331" s="1065"/>
      <c r="K331" s="1065"/>
      <c r="L331" s="1065"/>
      <c r="M331" s="1065"/>
      <c r="N331" s="1065"/>
      <c r="O331" s="1065"/>
      <c r="P331" s="1065"/>
      <c r="Q331" s="1065"/>
      <c r="R331" s="1065"/>
      <c r="T331" s="41" t="s">
        <v>700</v>
      </c>
      <c r="V331" s="41"/>
      <c r="W331" s="41"/>
      <c r="X331" s="41"/>
      <c r="Y331" s="41"/>
      <c r="AA331" s="1065" t="s">
        <v>2383</v>
      </c>
      <c r="AB331" s="1065"/>
      <c r="AC331" s="1065"/>
      <c r="AD331" s="1065"/>
      <c r="AE331" s="1065"/>
      <c r="AF331" s="1065"/>
      <c r="AG331" s="1065"/>
      <c r="AH331" s="1065"/>
      <c r="AI331" s="1065"/>
      <c r="AJ331" s="1065"/>
      <c r="AK331" s="1065"/>
      <c r="BA331" s="43"/>
    </row>
    <row r="332" spans="2:53" ht="12.95" customHeight="1">
      <c r="B332" s="41" t="s">
        <v>374</v>
      </c>
      <c r="C332" s="41"/>
      <c r="D332" s="41"/>
      <c r="E332" s="41"/>
      <c r="F332" s="41"/>
      <c r="H332" s="1065"/>
      <c r="I332" s="1065"/>
      <c r="J332" s="1065"/>
      <c r="K332" s="1065"/>
      <c r="L332" s="1065"/>
      <c r="M332" s="1065"/>
      <c r="N332" s="1065"/>
      <c r="O332" s="1065"/>
      <c r="P332" s="1065"/>
      <c r="Q332" s="1065"/>
      <c r="R332" s="1065"/>
      <c r="T332" s="41" t="s">
        <v>374</v>
      </c>
      <c r="V332" s="41"/>
      <c r="W332" s="41"/>
      <c r="X332" s="41"/>
      <c r="Y332" s="41"/>
      <c r="AA332" s="1065" t="s">
        <v>2405</v>
      </c>
      <c r="AB332" s="1065"/>
      <c r="AC332" s="1065"/>
      <c r="AD332" s="1065"/>
      <c r="AE332" s="1065"/>
      <c r="AF332" s="1065"/>
      <c r="AG332" s="1065"/>
      <c r="AH332" s="1065"/>
      <c r="AI332" s="1065"/>
      <c r="AJ332" s="1065"/>
      <c r="AK332" s="1065"/>
      <c r="BA332" s="43"/>
    </row>
    <row r="333" spans="2:53" ht="12.95" customHeight="1">
      <c r="B333" s="41" t="s">
        <v>375</v>
      </c>
      <c r="C333" s="41"/>
      <c r="D333" s="41"/>
      <c r="E333" s="41"/>
      <c r="F333" s="41"/>
      <c r="G333" s="41"/>
      <c r="H333" s="1451"/>
      <c r="I333" s="1451"/>
      <c r="J333" s="1451"/>
      <c r="K333" s="1451"/>
      <c r="L333" s="1451"/>
      <c r="M333" s="1451"/>
      <c r="N333" s="5" t="s">
        <v>818</v>
      </c>
      <c r="O333" s="5"/>
      <c r="P333" s="1454"/>
      <c r="Q333" s="1454"/>
      <c r="R333" s="1454"/>
      <c r="T333" s="41" t="s">
        <v>375</v>
      </c>
      <c r="V333" s="41"/>
      <c r="W333" s="41"/>
      <c r="X333" s="41"/>
      <c r="Y333" s="41"/>
      <c r="AA333" s="1451" t="s">
        <v>2406</v>
      </c>
      <c r="AB333" s="1451"/>
      <c r="AC333" s="1451"/>
      <c r="AD333" s="1451"/>
      <c r="AE333" s="1451"/>
      <c r="AF333" s="1451"/>
      <c r="AG333" s="5" t="s">
        <v>818</v>
      </c>
      <c r="AH333" s="5"/>
      <c r="AI333" s="1454"/>
      <c r="AJ333" s="1454"/>
      <c r="AK333" s="1454"/>
      <c r="BA333" s="43"/>
    </row>
    <row r="334" spans="2:53" ht="12.95" customHeight="1">
      <c r="B334" s="41" t="s">
        <v>376</v>
      </c>
      <c r="C334" s="41"/>
      <c r="D334" s="41"/>
      <c r="E334" s="41"/>
      <c r="F334" s="41"/>
      <c r="G334" s="41"/>
      <c r="H334" s="1307"/>
      <c r="I334" s="1307"/>
      <c r="J334" s="1307"/>
      <c r="K334" s="1307"/>
      <c r="L334" s="1307"/>
      <c r="M334" s="1307"/>
      <c r="N334" s="5"/>
      <c r="O334" s="5"/>
      <c r="P334" s="44"/>
      <c r="Q334" s="44"/>
      <c r="R334" s="44"/>
      <c r="T334" s="41" t="s">
        <v>376</v>
      </c>
      <c r="V334" s="41"/>
      <c r="W334" s="41"/>
      <c r="X334" s="41"/>
      <c r="Y334" s="41"/>
      <c r="AA334" s="1307" t="s">
        <v>2407</v>
      </c>
      <c r="AB334" s="1307"/>
      <c r="AC334" s="1307"/>
      <c r="AD334" s="1307"/>
      <c r="AE334" s="1307"/>
      <c r="AF334" s="1307"/>
      <c r="AG334" s="5"/>
      <c r="AH334" s="5"/>
      <c r="AI334" s="44"/>
      <c r="AJ334" s="44"/>
      <c r="AK334" s="44"/>
      <c r="BA334" s="43"/>
    </row>
    <row r="335" spans="2:53" ht="12.95" customHeight="1">
      <c r="B335" s="41" t="s">
        <v>702</v>
      </c>
      <c r="C335" s="41"/>
      <c r="D335" s="41"/>
      <c r="E335" s="41"/>
      <c r="F335" s="41"/>
      <c r="G335" s="41"/>
      <c r="H335" s="1065"/>
      <c r="I335" s="1065"/>
      <c r="J335" s="1065"/>
      <c r="K335" s="1065"/>
      <c r="L335" s="1065"/>
      <c r="M335" s="1065"/>
      <c r="N335" s="1158"/>
      <c r="O335" s="1158"/>
      <c r="P335" s="1158"/>
      <c r="Q335" s="1158"/>
      <c r="R335" s="1158"/>
      <c r="T335" s="41" t="s">
        <v>702</v>
      </c>
      <c r="V335" s="41"/>
      <c r="W335" s="41"/>
      <c r="X335" s="41"/>
      <c r="Y335" s="41"/>
      <c r="AA335" s="1065" t="s">
        <v>2408</v>
      </c>
      <c r="AB335" s="1065"/>
      <c r="AC335" s="1065"/>
      <c r="AD335" s="1065"/>
      <c r="AE335" s="1065"/>
      <c r="AF335" s="1065"/>
      <c r="AG335" s="1158"/>
      <c r="AH335" s="1158"/>
      <c r="AI335" s="1158"/>
      <c r="AJ335" s="1158"/>
      <c r="AK335" s="115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58"/>
      <c r="I337" s="1158"/>
      <c r="J337" s="1158"/>
      <c r="K337" s="1158"/>
      <c r="L337" s="1158"/>
      <c r="M337" s="1158"/>
      <c r="N337" s="1158"/>
      <c r="O337" s="1158"/>
      <c r="P337" s="1158"/>
      <c r="Q337" s="1158"/>
      <c r="R337" s="1158"/>
      <c r="T337" s="358" t="s">
        <v>1145</v>
      </c>
      <c r="AA337" s="1158"/>
      <c r="AB337" s="1158"/>
      <c r="AC337" s="1158"/>
      <c r="AD337" s="1158"/>
      <c r="AE337" s="1158"/>
      <c r="AF337" s="1158"/>
      <c r="AG337" s="1158"/>
      <c r="AH337" s="1158"/>
      <c r="AI337" s="1158"/>
      <c r="AJ337" s="1158"/>
      <c r="AK337" s="1158"/>
      <c r="BA337" s="43"/>
    </row>
    <row r="338" spans="2:53" ht="12.95" customHeight="1">
      <c r="B338" s="358" t="s">
        <v>699</v>
      </c>
      <c r="C338" s="358"/>
      <c r="D338" s="358"/>
      <c r="E338" s="358"/>
      <c r="F338" s="358"/>
      <c r="G338" s="358"/>
      <c r="H338" s="1065"/>
      <c r="I338" s="1065"/>
      <c r="J338" s="1065"/>
      <c r="K338" s="1065"/>
      <c r="L338" s="1065"/>
      <c r="M338" s="1065"/>
      <c r="N338" s="1065"/>
      <c r="O338" s="1065"/>
      <c r="P338" s="1065"/>
      <c r="Q338" s="1065"/>
      <c r="R338" s="1065"/>
      <c r="T338" s="41" t="s">
        <v>699</v>
      </c>
      <c r="AA338" s="1065"/>
      <c r="AB338" s="1065"/>
      <c r="AC338" s="1065"/>
      <c r="AD338" s="1065"/>
      <c r="AE338" s="1065"/>
      <c r="AF338" s="1065"/>
      <c r="AG338" s="1065"/>
      <c r="AH338" s="1065"/>
      <c r="AI338" s="1065"/>
      <c r="AJ338" s="1065"/>
      <c r="AK338" s="1065"/>
      <c r="BA338" s="43"/>
    </row>
    <row r="339" spans="2:53" ht="12.95" customHeight="1">
      <c r="B339" s="358" t="s">
        <v>701</v>
      </c>
      <c r="C339" s="358"/>
      <c r="D339" s="358"/>
      <c r="E339" s="358"/>
      <c r="F339" s="358"/>
      <c r="G339" s="358"/>
      <c r="H339" s="1065"/>
      <c r="I339" s="1065"/>
      <c r="J339" s="1065"/>
      <c r="K339" s="1065"/>
      <c r="L339" s="1065"/>
      <c r="M339" s="1065"/>
      <c r="N339" s="1065"/>
      <c r="O339" s="1065"/>
      <c r="P339" s="1065"/>
      <c r="Q339" s="1065"/>
      <c r="R339" s="1065"/>
      <c r="T339" s="41" t="s">
        <v>700</v>
      </c>
      <c r="AA339" s="1065"/>
      <c r="AB339" s="1065"/>
      <c r="AC339" s="1065"/>
      <c r="AD339" s="1065"/>
      <c r="AE339" s="1065"/>
      <c r="AF339" s="1065"/>
      <c r="AG339" s="1065"/>
      <c r="AH339" s="1065"/>
      <c r="AI339" s="1065"/>
      <c r="AJ339" s="1065"/>
      <c r="AK339" s="1065"/>
    </row>
    <row r="340" spans="2:53" ht="12.95" customHeight="1">
      <c r="B340" s="358" t="s">
        <v>374</v>
      </c>
      <c r="C340" s="358"/>
      <c r="D340" s="358"/>
      <c r="E340" s="358"/>
      <c r="F340" s="358"/>
      <c r="G340" s="358"/>
      <c r="H340" s="1065"/>
      <c r="I340" s="1065"/>
      <c r="J340" s="1065"/>
      <c r="K340" s="1065"/>
      <c r="L340" s="1065"/>
      <c r="M340" s="1065"/>
      <c r="N340" s="1065"/>
      <c r="O340" s="1065"/>
      <c r="P340" s="1065"/>
      <c r="Q340" s="1065"/>
      <c r="R340" s="1065"/>
      <c r="T340" s="41" t="s">
        <v>374</v>
      </c>
      <c r="AA340" s="1065"/>
      <c r="AB340" s="1065"/>
      <c r="AC340" s="1065"/>
      <c r="AD340" s="1065"/>
      <c r="AE340" s="1065"/>
      <c r="AF340" s="1065"/>
      <c r="AG340" s="1065"/>
      <c r="AH340" s="1065"/>
      <c r="AI340" s="1065"/>
      <c r="AJ340" s="1065"/>
      <c r="AK340" s="1065"/>
    </row>
    <row r="341" spans="2:53" ht="12.95" customHeight="1">
      <c r="B341" s="358" t="s">
        <v>375</v>
      </c>
      <c r="C341" s="358"/>
      <c r="D341" s="358"/>
      <c r="E341" s="358"/>
      <c r="F341" s="358"/>
      <c r="G341" s="358"/>
      <c r="H341" s="1451"/>
      <c r="I341" s="1451"/>
      <c r="J341" s="1451"/>
      <c r="K341" s="1451"/>
      <c r="L341" s="1451"/>
      <c r="M341" s="1451"/>
      <c r="N341" s="5" t="s">
        <v>818</v>
      </c>
      <c r="O341" s="5"/>
      <c r="P341" s="1454"/>
      <c r="Q341" s="1454"/>
      <c r="R341" s="1454"/>
      <c r="T341" s="41" t="s">
        <v>375</v>
      </c>
      <c r="AA341" s="1451"/>
      <c r="AB341" s="1451"/>
      <c r="AC341" s="1451"/>
      <c r="AD341" s="1451"/>
      <c r="AE341" s="1451"/>
      <c r="AF341" s="1451"/>
      <c r="AG341" s="5" t="s">
        <v>818</v>
      </c>
      <c r="AH341" s="5"/>
      <c r="AI341" s="1454"/>
      <c r="AJ341" s="1454"/>
      <c r="AK341" s="1454"/>
    </row>
    <row r="342" spans="2:53" ht="12.95" customHeight="1">
      <c r="B342" s="358" t="s">
        <v>376</v>
      </c>
      <c r="C342" s="358"/>
      <c r="D342" s="358"/>
      <c r="E342" s="358"/>
      <c r="F342" s="358"/>
      <c r="G342" s="358"/>
      <c r="H342" s="1307"/>
      <c r="I342" s="1307"/>
      <c r="J342" s="1307"/>
      <c r="K342" s="1307"/>
      <c r="L342" s="1307"/>
      <c r="M342" s="1307"/>
      <c r="N342" s="5"/>
      <c r="O342" s="5"/>
      <c r="P342" s="44"/>
      <c r="Q342" s="44"/>
      <c r="R342" s="44"/>
      <c r="T342" s="41" t="s">
        <v>376</v>
      </c>
      <c r="AA342" s="1307"/>
      <c r="AB342" s="1307"/>
      <c r="AC342" s="1307"/>
      <c r="AD342" s="1307"/>
      <c r="AE342" s="1307"/>
      <c r="AF342" s="1307"/>
      <c r="AG342" s="5"/>
      <c r="AH342" s="5"/>
      <c r="AI342" s="44"/>
      <c r="AJ342" s="44"/>
      <c r="AK342" s="44"/>
    </row>
    <row r="343" spans="2:53" ht="12.95" customHeight="1">
      <c r="B343" s="358" t="s">
        <v>702</v>
      </c>
      <c r="C343" s="358"/>
      <c r="D343" s="358"/>
      <c r="E343" s="358"/>
      <c r="F343" s="358"/>
      <c r="G343" s="358"/>
      <c r="H343" s="1065"/>
      <c r="I343" s="1065"/>
      <c r="J343" s="1065"/>
      <c r="K343" s="1065"/>
      <c r="L343" s="1065"/>
      <c r="M343" s="1065"/>
      <c r="N343" s="1158"/>
      <c r="O343" s="1158"/>
      <c r="P343" s="1158"/>
      <c r="Q343" s="1158"/>
      <c r="R343" s="1158"/>
      <c r="T343" s="41" t="s">
        <v>702</v>
      </c>
      <c r="AA343" s="1065"/>
      <c r="AB343" s="1065"/>
      <c r="AC343" s="1065"/>
      <c r="AD343" s="1065"/>
      <c r="AE343" s="1065"/>
      <c r="AF343" s="1065"/>
      <c r="AG343" s="1158"/>
      <c r="AH343" s="1158"/>
      <c r="AI343" s="1158"/>
      <c r="AJ343" s="1158"/>
      <c r="AK343" s="1158"/>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2302</v>
      </c>
      <c r="P345" s="1158"/>
      <c r="Q345" s="1158"/>
      <c r="R345" s="1158"/>
      <c r="S345" s="1158"/>
      <c r="T345" s="1158"/>
      <c r="U345" s="1158"/>
      <c r="V345" s="1158"/>
      <c r="W345" s="1158"/>
      <c r="X345" s="1158"/>
      <c r="Y345" s="1158"/>
      <c r="Z345" s="1158"/>
    </row>
    <row r="346" spans="2:53" ht="12.95" customHeight="1">
      <c r="C346" s="358"/>
      <c r="D346" s="358"/>
      <c r="E346" s="358"/>
      <c r="F346" s="358"/>
      <c r="G346" s="358"/>
      <c r="I346" s="358" t="s">
        <v>699</v>
      </c>
      <c r="P346" s="1065"/>
      <c r="Q346" s="1065"/>
      <c r="R346" s="1065"/>
      <c r="S346" s="1065"/>
      <c r="T346" s="1065"/>
      <c r="U346" s="1065"/>
      <c r="V346" s="1065"/>
      <c r="W346" s="1065"/>
      <c r="X346" s="1065"/>
      <c r="Y346" s="1065"/>
      <c r="Z346" s="1065"/>
    </row>
    <row r="347" spans="2:53" ht="12.95" customHeight="1">
      <c r="C347" s="358"/>
      <c r="D347" s="358"/>
      <c r="E347" s="358"/>
      <c r="F347" s="358"/>
      <c r="G347" s="358"/>
      <c r="I347" s="358" t="s">
        <v>701</v>
      </c>
      <c r="P347" s="1065"/>
      <c r="Q347" s="1065"/>
      <c r="R347" s="1065"/>
      <c r="S347" s="1065"/>
      <c r="T347" s="1065"/>
      <c r="U347" s="1065"/>
      <c r="V347" s="1065"/>
      <c r="W347" s="1065"/>
      <c r="X347" s="1065"/>
      <c r="Y347" s="1065"/>
      <c r="Z347" s="1065"/>
    </row>
    <row r="348" spans="2:53" ht="12.95" customHeight="1">
      <c r="C348" s="358"/>
      <c r="D348" s="358"/>
      <c r="E348" s="358"/>
      <c r="F348" s="358"/>
      <c r="G348" s="358"/>
      <c r="I348" s="358" t="s">
        <v>374</v>
      </c>
      <c r="P348" s="1065"/>
      <c r="Q348" s="1065"/>
      <c r="R348" s="1065"/>
      <c r="S348" s="1065"/>
      <c r="T348" s="1065"/>
      <c r="U348" s="1065"/>
      <c r="V348" s="1065"/>
      <c r="W348" s="1065"/>
      <c r="X348" s="1065"/>
      <c r="Y348" s="1065"/>
      <c r="Z348" s="1065"/>
    </row>
    <row r="349" spans="2:53" ht="12.95" customHeight="1">
      <c r="C349" s="358"/>
      <c r="D349" s="358"/>
      <c r="E349" s="358"/>
      <c r="F349" s="358"/>
      <c r="G349" s="358"/>
      <c r="I349" s="358" t="s">
        <v>375</v>
      </c>
      <c r="P349" s="1451"/>
      <c r="Q349" s="1451"/>
      <c r="R349" s="1451"/>
      <c r="S349" s="1451"/>
      <c r="T349" s="1451"/>
      <c r="U349" s="1451"/>
      <c r="V349" s="5" t="s">
        <v>818</v>
      </c>
      <c r="W349" s="5"/>
      <c r="X349" s="1454"/>
      <c r="Y349" s="1454"/>
      <c r="Z349" s="1454"/>
    </row>
    <row r="350" spans="2:53" ht="12.95" customHeight="1">
      <c r="C350" s="358"/>
      <c r="D350" s="358"/>
      <c r="E350" s="358"/>
      <c r="F350" s="358"/>
      <c r="G350" s="358"/>
      <c r="I350" s="358" t="s">
        <v>376</v>
      </c>
      <c r="P350" s="1307"/>
      <c r="Q350" s="1307"/>
      <c r="R350" s="1307"/>
      <c r="S350" s="1307"/>
      <c r="T350" s="1307"/>
      <c r="U350" s="1307"/>
      <c r="V350" s="5"/>
      <c r="W350" s="5"/>
      <c r="X350" s="44"/>
      <c r="Y350" s="44"/>
      <c r="Z350" s="44"/>
    </row>
    <row r="351" spans="2:53" ht="12.95" customHeight="1">
      <c r="C351" s="358"/>
      <c r="D351" s="358"/>
      <c r="E351" s="358"/>
      <c r="F351" s="358"/>
      <c r="G351" s="358"/>
      <c r="I351" s="358" t="s">
        <v>702</v>
      </c>
      <c r="P351" s="1065"/>
      <c r="Q351" s="1065"/>
      <c r="R351" s="1065"/>
      <c r="S351" s="1065"/>
      <c r="T351" s="1065"/>
      <c r="U351" s="1065"/>
      <c r="V351" s="1158"/>
      <c r="W351" s="1158"/>
      <c r="X351" s="1158"/>
      <c r="Y351" s="1158"/>
      <c r="Z351" s="1158"/>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34" t="s">
        <v>497</v>
      </c>
      <c r="B353" s="1134"/>
      <c r="C353" s="1134"/>
      <c r="D353" s="1134"/>
      <c r="E353" s="1134"/>
      <c r="F353" s="1134"/>
      <c r="G353" s="1134"/>
      <c r="H353" s="1134"/>
      <c r="I353" s="1134"/>
      <c r="J353" s="1134"/>
      <c r="K353" s="1134"/>
      <c r="L353" s="1134"/>
      <c r="M353" s="1134"/>
      <c r="N353" s="1134"/>
      <c r="O353" s="1134"/>
      <c r="P353" s="1134"/>
      <c r="Q353" s="1134"/>
      <c r="R353" s="1134"/>
      <c r="S353" s="1134"/>
      <c r="T353" s="1134"/>
      <c r="U353" s="1134"/>
      <c r="V353" s="1134"/>
      <c r="W353" s="1134"/>
      <c r="X353" s="1134"/>
      <c r="Y353" s="1134"/>
      <c r="Z353" s="1134"/>
      <c r="AA353" s="1134"/>
      <c r="AB353" s="1134"/>
      <c r="AC353" s="1134"/>
      <c r="AD353" s="1134"/>
      <c r="AE353" s="1134"/>
      <c r="AF353" s="1134"/>
      <c r="AG353" s="1134"/>
      <c r="AH353" s="1134"/>
      <c r="AI353" s="1134"/>
      <c r="AJ353" s="1134"/>
      <c r="AK353" s="1134"/>
      <c r="AL353" s="1134"/>
      <c r="AM353" s="1134"/>
      <c r="AN353" s="1134"/>
      <c r="AO353" s="1134"/>
      <c r="AP353" s="1134"/>
      <c r="AQ353" s="1134"/>
      <c r="AR353" s="1134"/>
      <c r="AS353" s="1134"/>
      <c r="AT353" s="1134"/>
    </row>
    <row r="354" spans="1:46" ht="12.95" customHeight="1">
      <c r="A354" s="1134"/>
      <c r="B354" s="1134"/>
      <c r="C354" s="1134"/>
      <c r="D354" s="1134"/>
      <c r="E354" s="1134"/>
      <c r="F354" s="1134"/>
      <c r="G354" s="1134"/>
      <c r="H354" s="1134"/>
      <c r="I354" s="1134"/>
      <c r="J354" s="1134"/>
      <c r="K354" s="1134"/>
      <c r="L354" s="1134"/>
      <c r="M354" s="1134"/>
      <c r="N354" s="1134"/>
      <c r="O354" s="1134"/>
      <c r="P354" s="1134"/>
      <c r="Q354" s="1134"/>
      <c r="R354" s="1134"/>
      <c r="S354" s="1134"/>
      <c r="T354" s="1134"/>
      <c r="U354" s="1134"/>
      <c r="V354" s="1134"/>
      <c r="W354" s="1134"/>
      <c r="X354" s="1134"/>
      <c r="Y354" s="1134"/>
      <c r="Z354" s="1134"/>
      <c r="AA354" s="1134"/>
      <c r="AB354" s="1134"/>
      <c r="AC354" s="1134"/>
      <c r="AD354" s="1134"/>
      <c r="AE354" s="1134"/>
      <c r="AF354" s="1134"/>
      <c r="AG354" s="1134"/>
      <c r="AH354" s="1134"/>
      <c r="AI354" s="1134"/>
      <c r="AJ354" s="1134"/>
      <c r="AK354" s="1134"/>
      <c r="AL354" s="1134"/>
      <c r="AM354" s="1134"/>
      <c r="AN354" s="1134"/>
      <c r="AO354" s="1134"/>
      <c r="AP354" s="1134"/>
      <c r="AQ354" s="1134"/>
      <c r="AR354" s="1134"/>
      <c r="AS354" s="1134"/>
      <c r="AT354" s="1134"/>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49" t="s">
        <v>108</v>
      </c>
      <c r="N357" s="1149"/>
      <c r="P357" t="s">
        <v>1949</v>
      </c>
      <c r="AJ357" s="1149" t="s">
        <v>124</v>
      </c>
      <c r="AK357" s="1149"/>
    </row>
    <row r="358" spans="1:46" ht="12.95" customHeight="1">
      <c r="C358"/>
      <c r="D358" s="41" t="s">
        <v>1877</v>
      </c>
      <c r="M358" s="1149" t="s">
        <v>124</v>
      </c>
      <c r="N358" s="1149"/>
      <c r="P358" s="41" t="s">
        <v>1950</v>
      </c>
      <c r="AJ358" s="1361"/>
      <c r="AK358" s="1361"/>
    </row>
    <row r="359" spans="1:46" ht="12.95" customHeight="1">
      <c r="C359"/>
      <c r="D359" t="s">
        <v>313</v>
      </c>
      <c r="M359" s="1149" t="s">
        <v>124</v>
      </c>
      <c r="N359" s="1149"/>
      <c r="P359" t="s">
        <v>1951</v>
      </c>
      <c r="AJ359" s="1149" t="s">
        <v>124</v>
      </c>
      <c r="AK359" s="1149"/>
    </row>
    <row r="360" spans="1:46" ht="12.95" customHeight="1">
      <c r="C360"/>
      <c r="D360" t="s">
        <v>314</v>
      </c>
      <c r="M360" s="1149" t="s">
        <v>124</v>
      </c>
      <c r="N360" s="1149"/>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49" t="s">
        <v>124</v>
      </c>
      <c r="O365" s="1149"/>
      <c r="P365" s="49"/>
      <c r="Q365" s="49"/>
      <c r="R365" s="49"/>
      <c r="S365" s="49"/>
      <c r="T365" s="49"/>
      <c r="U365" s="49"/>
      <c r="V365" s="49"/>
      <c r="W365" s="49"/>
      <c r="X365" s="49"/>
      <c r="Y365" s="49"/>
      <c r="Z365" s="49"/>
      <c r="AC365" s="49"/>
      <c r="AD365" s="49"/>
      <c r="AE365" s="49"/>
    </row>
    <row r="366" spans="1:46" ht="12.95" customHeight="1">
      <c r="C366"/>
      <c r="E366" t="s">
        <v>733</v>
      </c>
      <c r="Y366" s="1149" t="s">
        <v>124</v>
      </c>
      <c r="Z366" s="1149"/>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49" t="s">
        <v>124</v>
      </c>
      <c r="K368" s="1149"/>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5" t="s">
        <v>315</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124</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482</v>
      </c>
    </row>
    <row r="371" spans="4:57" customFormat="1" ht="12.95" customHeight="1">
      <c r="E371" s="5" t="s">
        <v>590</v>
      </c>
      <c r="F371" s="5"/>
      <c r="G371" s="5"/>
      <c r="H371" s="5"/>
      <c r="I371" s="5"/>
      <c r="J371" s="5"/>
      <c r="K371" s="5"/>
      <c r="L371" s="5"/>
      <c r="N371" s="1152"/>
      <c r="O371" s="1152"/>
      <c r="P371" s="1152"/>
      <c r="Q371" s="1152"/>
      <c r="R371" s="5"/>
      <c r="U371" s="5" t="s">
        <v>591</v>
      </c>
      <c r="V371" s="5"/>
      <c r="W371" s="5"/>
      <c r="X371" s="5"/>
      <c r="Y371" s="5"/>
      <c r="Z371" s="5"/>
      <c r="AA371" s="5"/>
      <c r="AB371" s="5"/>
      <c r="AC371" s="1152"/>
      <c r="AD371" s="1152"/>
      <c r="AE371" s="1152"/>
      <c r="AF371" s="1152"/>
      <c r="BE371" t="s">
        <v>108</v>
      </c>
    </row>
    <row r="372" spans="4:57" customFormat="1" ht="12.95" customHeight="1">
      <c r="E372" s="5" t="s">
        <v>592</v>
      </c>
      <c r="F372" s="5"/>
      <c r="G372" s="5"/>
      <c r="H372" s="5"/>
      <c r="I372" s="5"/>
      <c r="J372" s="5"/>
      <c r="K372" s="5"/>
      <c r="L372" s="5"/>
      <c r="N372" s="1152"/>
      <c r="O372" s="1152"/>
      <c r="P372" s="1152"/>
      <c r="Q372" s="1152"/>
      <c r="R372" s="5"/>
      <c r="U372" s="5" t="s">
        <v>593</v>
      </c>
      <c r="V372" s="5"/>
      <c r="W372" s="5"/>
      <c r="X372" s="5"/>
      <c r="Y372" s="5"/>
      <c r="Z372" s="5"/>
      <c r="AA372" s="5"/>
      <c r="AB372" s="5"/>
      <c r="AC372" s="1152"/>
      <c r="AD372" s="1152"/>
      <c r="AE372" s="1152"/>
      <c r="AF372" s="1152"/>
    </row>
    <row r="373" spans="4:57" customFormat="1" ht="12.95" customHeight="1">
      <c r="E373" s="5" t="s">
        <v>64</v>
      </c>
      <c r="F373" s="5"/>
      <c r="G373" s="5"/>
      <c r="H373" s="5"/>
      <c r="I373" s="5"/>
      <c r="J373" s="5"/>
      <c r="K373" s="5"/>
      <c r="L373" s="5"/>
      <c r="N373" s="1152"/>
      <c r="O373" s="1152"/>
      <c r="P373" s="1152"/>
      <c r="Q373" s="1152"/>
      <c r="R373" s="5"/>
      <c r="V373" s="5"/>
      <c r="W373" s="5"/>
      <c r="X373" s="5"/>
      <c r="Y373" s="5"/>
      <c r="Z373" s="5"/>
      <c r="AA373" s="5"/>
      <c r="AB373" s="5"/>
    </row>
    <row r="374" spans="4:57" customFormat="1" ht="12.95" customHeight="1">
      <c r="E374" s="5" t="s">
        <v>65</v>
      </c>
      <c r="F374" s="5"/>
      <c r="G374" s="5"/>
      <c r="H374" s="5"/>
      <c r="I374" s="5"/>
      <c r="J374" s="5"/>
      <c r="K374" s="5"/>
      <c r="L374" s="5"/>
      <c r="N374" s="1611"/>
      <c r="O374" s="1611"/>
      <c r="P374" s="1611"/>
      <c r="Q374" s="1611"/>
      <c r="R374" s="1611"/>
      <c r="S374" s="1611"/>
      <c r="T374" s="1611"/>
      <c r="U374" s="1611"/>
      <c r="V374" s="1611"/>
      <c r="W374" s="1611"/>
      <c r="X374" s="1611"/>
      <c r="Y374" s="1611"/>
      <c r="Z374" s="1611"/>
      <c r="AA374" s="1611"/>
      <c r="AB374" s="1611"/>
      <c r="AC374" s="1611"/>
      <c r="AD374" s="1611"/>
      <c r="AE374" s="1611"/>
      <c r="AF374" s="1611"/>
    </row>
    <row r="375" spans="4:57" customFormat="1" ht="12.95" customHeight="1">
      <c r="E375" s="5"/>
      <c r="F375" s="5"/>
      <c r="G375" s="5"/>
      <c r="H375" s="5"/>
      <c r="I375" s="5"/>
      <c r="J375" s="5"/>
      <c r="K375" s="5"/>
      <c r="L375" s="5"/>
      <c r="N375" s="1612"/>
      <c r="O375" s="1612"/>
      <c r="P375" s="1612"/>
      <c r="Q375" s="1612"/>
      <c r="R375" s="1612"/>
      <c r="S375" s="1612"/>
      <c r="T375" s="1612"/>
      <c r="U375" s="1612"/>
      <c r="V375" s="1612"/>
      <c r="W375" s="1612"/>
      <c r="X375" s="1612"/>
      <c r="Y375" s="1612"/>
      <c r="Z375" s="1612"/>
      <c r="AA375" s="1612"/>
      <c r="AB375" s="1612"/>
      <c r="AC375" s="1612"/>
      <c r="AD375" s="1612"/>
      <c r="AE375" s="1612"/>
      <c r="AF375" s="1612"/>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59"/>
      <c r="T378" s="1159"/>
      <c r="U378" s="367" t="s">
        <v>232</v>
      </c>
      <c r="V378" s="1159"/>
      <c r="W378" s="1159"/>
      <c r="X378" s="358"/>
      <c r="Z378" s="358"/>
      <c r="AA378" s="936" t="s">
        <v>2091</v>
      </c>
      <c r="AB378" s="358" t="s">
        <v>231</v>
      </c>
      <c r="AC378" s="358"/>
      <c r="AD378" s="1159"/>
      <c r="AE378" s="1159"/>
      <c r="AF378" s="367" t="s">
        <v>232</v>
      </c>
      <c r="AG378" s="1159"/>
      <c r="AH378" s="1159"/>
    </row>
    <row r="379" spans="4:57" customFormat="1" ht="12.95" customHeight="1">
      <c r="D379" s="358"/>
      <c r="E379" s="358" t="s">
        <v>1235</v>
      </c>
      <c r="F379" s="358"/>
      <c r="G379" s="358"/>
      <c r="H379" s="358"/>
      <c r="I379" s="358"/>
      <c r="J379" s="358"/>
      <c r="K379" s="358"/>
      <c r="L379" s="358"/>
      <c r="M379" s="358"/>
      <c r="N379" s="1159"/>
      <c r="O379" s="1159"/>
      <c r="P379" s="1159"/>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60" t="s">
        <v>124</v>
      </c>
      <c r="AH380" s="1160"/>
    </row>
    <row r="381" spans="4:57" customFormat="1" ht="12.95"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60" t="s">
        <v>124</v>
      </c>
      <c r="AH381" s="1160"/>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60" t="s">
        <v>124</v>
      </c>
      <c r="W382" s="1160"/>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60" t="s">
        <v>124</v>
      </c>
      <c r="W383" s="1160"/>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58" t="s">
        <v>2409</v>
      </c>
      <c r="K386" s="1158"/>
      <c r="L386" s="1158"/>
      <c r="M386" s="1158"/>
      <c r="N386" s="1158"/>
      <c r="O386" s="1158"/>
      <c r="P386" s="1158"/>
      <c r="Q386" s="1158"/>
      <c r="R386" s="1158"/>
      <c r="S386" s="1158"/>
      <c r="T386" s="1158"/>
      <c r="U386" s="1158"/>
      <c r="V386" s="12" t="s">
        <v>710</v>
      </c>
      <c r="W386" s="12"/>
      <c r="X386" s="12"/>
      <c r="Y386" s="12"/>
      <c r="Z386" s="12"/>
      <c r="AA386" s="12"/>
      <c r="AB386" s="12"/>
      <c r="AC386" s="1158"/>
      <c r="AD386" s="1158"/>
      <c r="AE386" s="1158"/>
      <c r="AF386" s="1158"/>
      <c r="AG386" s="1158"/>
      <c r="AH386" s="1158"/>
      <c r="AI386" s="1158"/>
      <c r="AJ386" s="1158"/>
    </row>
    <row r="387" spans="1:36" ht="12.95" customHeight="1">
      <c r="C387"/>
      <c r="D387" s="41" t="s">
        <v>1952</v>
      </c>
      <c r="J387" s="1065"/>
      <c r="K387" s="1065"/>
      <c r="L387" s="1065"/>
      <c r="M387" s="1065"/>
      <c r="N387" s="1065"/>
      <c r="O387" s="1065"/>
      <c r="P387" s="1065"/>
      <c r="Q387" s="1065"/>
      <c r="R387" s="1065"/>
      <c r="S387" s="1065"/>
      <c r="T387" s="1065"/>
      <c r="U387" s="1065"/>
      <c r="V387" s="41" t="s">
        <v>1952</v>
      </c>
      <c r="W387" s="12"/>
      <c r="X387" s="12"/>
      <c r="Y387" s="12"/>
      <c r="Z387" s="12"/>
      <c r="AA387" s="12"/>
      <c r="AB387" s="12"/>
      <c r="AC387" s="1158"/>
      <c r="AD387" s="1158"/>
      <c r="AE387" s="1158"/>
      <c r="AF387" s="1158"/>
      <c r="AG387" s="1158"/>
      <c r="AH387" s="1158"/>
      <c r="AI387" s="1158"/>
      <c r="AJ387" s="1158"/>
    </row>
    <row r="388" spans="1:36" ht="12.95" customHeight="1">
      <c r="C388"/>
      <c r="D388" s="41" t="s">
        <v>544</v>
      </c>
      <c r="J388" s="1065"/>
      <c r="K388" s="1065"/>
      <c r="L388" s="1065"/>
      <c r="M388" s="1065"/>
      <c r="N388" s="1065"/>
      <c r="O388" s="1065"/>
      <c r="P388" s="1065"/>
      <c r="Q388" s="1065"/>
      <c r="R388" s="1065"/>
      <c r="S388" s="1065"/>
      <c r="T388" s="1065"/>
      <c r="U388" s="1065"/>
      <c r="V388" s="41" t="s">
        <v>544</v>
      </c>
      <c r="W388" s="12"/>
      <c r="X388" s="12"/>
      <c r="Y388" s="12"/>
      <c r="Z388" s="12"/>
      <c r="AA388" s="12"/>
      <c r="AB388" s="12"/>
      <c r="AC388" s="1158"/>
      <c r="AD388" s="1158"/>
      <c r="AE388" s="1158"/>
      <c r="AF388" s="1158"/>
      <c r="AG388" s="1158"/>
      <c r="AH388" s="1158"/>
      <c r="AI388" s="1158"/>
      <c r="AJ388" s="1158"/>
    </row>
    <row r="389" spans="1:36" ht="12.95" customHeight="1">
      <c r="C389"/>
      <c r="D389" t="s">
        <v>1953</v>
      </c>
      <c r="J389" s="1122"/>
      <c r="K389" s="1122"/>
      <c r="L389" s="1122"/>
      <c r="M389" s="1122"/>
      <c r="N389" s="1122"/>
      <c r="O389" s="1122"/>
      <c r="P389" s="1122"/>
      <c r="Q389" s="1122"/>
      <c r="R389" s="1122"/>
      <c r="S389" s="1122"/>
      <c r="T389" s="1122"/>
      <c r="U389" s="1122"/>
      <c r="V389" s="1158"/>
      <c r="W389" s="1158"/>
      <c r="X389" s="1158"/>
      <c r="Y389" s="1158"/>
      <c r="Z389" s="1158"/>
      <c r="AA389" s="1158"/>
      <c r="AB389" s="1158"/>
      <c r="AC389" s="1158"/>
      <c r="AD389" s="1158"/>
      <c r="AE389" s="1158"/>
      <c r="AF389" s="1158"/>
      <c r="AG389" s="1158"/>
      <c r="AH389" s="1158"/>
      <c r="AI389" s="1158"/>
      <c r="AJ389" s="1158"/>
    </row>
    <row r="390" spans="1:36" ht="12.95" customHeight="1">
      <c r="C390"/>
      <c r="D390" t="s">
        <v>554</v>
      </c>
      <c r="Q390" s="1603">
        <v>45504</v>
      </c>
      <c r="R390" s="1603"/>
      <c r="S390" s="1603"/>
      <c r="T390" s="1603"/>
      <c r="U390" s="1603"/>
      <c r="V390" t="s">
        <v>168</v>
      </c>
      <c r="AI390" s="1149" t="s">
        <v>482</v>
      </c>
      <c r="AJ390" s="1149"/>
    </row>
    <row r="391" spans="1:36" ht="12.95" customHeight="1">
      <c r="C391"/>
      <c r="D391" t="s">
        <v>555</v>
      </c>
      <c r="Q391" s="1436">
        <v>45961</v>
      </c>
      <c r="R391" s="1229"/>
      <c r="S391" s="1229"/>
      <c r="T391" s="1229"/>
      <c r="U391" s="1229"/>
      <c r="W391" s="29" t="s">
        <v>20</v>
      </c>
      <c r="AG391" s="1344"/>
      <c r="AH391" s="1344"/>
      <c r="AI391" s="1344"/>
      <c r="AJ391" s="1344"/>
    </row>
    <row r="392" spans="1:36" ht="12.95" customHeight="1">
      <c r="C392"/>
      <c r="D392" t="s">
        <v>274</v>
      </c>
      <c r="Q392" s="1270">
        <v>4200000</v>
      </c>
      <c r="R392" s="1270"/>
      <c r="S392" s="1270"/>
      <c r="T392" s="1270"/>
      <c r="U392" s="1270"/>
      <c r="V392" s="41" t="s">
        <v>1954</v>
      </c>
      <c r="AG392" s="1613"/>
      <c r="AH392" s="1613"/>
      <c r="AI392" s="1613"/>
      <c r="AJ392" s="1613"/>
    </row>
    <row r="393" spans="1:36" ht="12.95" customHeight="1">
      <c r="C393"/>
      <c r="D393" t="s">
        <v>375</v>
      </c>
      <c r="I393" s="1515"/>
      <c r="J393" s="1515"/>
      <c r="K393" s="1515"/>
      <c r="L393" s="1515"/>
      <c r="M393" s="1515"/>
      <c r="N393" s="1515"/>
      <c r="Q393" s="41" t="s">
        <v>818</v>
      </c>
      <c r="S393" s="1575"/>
      <c r="T393" s="1575"/>
      <c r="U393" s="1575"/>
      <c r="V393" t="s">
        <v>19</v>
      </c>
      <c r="AI393" s="1149" t="s">
        <v>482</v>
      </c>
      <c r="AJ393" s="1149"/>
    </row>
    <row r="394" spans="1:36" ht="12.95" customHeight="1">
      <c r="C394"/>
      <c r="D394" t="s">
        <v>169</v>
      </c>
      <c r="Q394" s="1107"/>
      <c r="R394" s="1107"/>
      <c r="S394" s="1107"/>
      <c r="T394" s="1107"/>
      <c r="U394" s="1107"/>
      <c r="V394" t="s">
        <v>170</v>
      </c>
      <c r="AG394" s="1344"/>
      <c r="AH394" s="1344"/>
      <c r="AI394" s="1344"/>
      <c r="AJ394" s="1344"/>
    </row>
    <row r="395" spans="1:36" ht="12.95" customHeight="1">
      <c r="C395"/>
      <c r="D395" t="s">
        <v>25</v>
      </c>
      <c r="Q395" s="1345"/>
      <c r="R395" s="1345"/>
      <c r="S395" s="1345"/>
      <c r="T395" s="1345"/>
      <c r="U395" s="1345"/>
      <c r="V395" t="s">
        <v>1676</v>
      </c>
      <c r="AG395" s="1344"/>
      <c r="AH395" s="1344"/>
      <c r="AI395" s="1344"/>
      <c r="AJ395" s="1344"/>
    </row>
    <row r="396" spans="1:36" ht="12.95" customHeight="1">
      <c r="C396"/>
      <c r="D396" t="s">
        <v>1955</v>
      </c>
      <c r="AG396" s="1344"/>
      <c r="AH396" s="1344"/>
      <c r="AI396" s="1344"/>
      <c r="AJ396" s="1344"/>
    </row>
    <row r="397" spans="1:36" ht="12.95" customHeight="1">
      <c r="C397"/>
      <c r="AG397" s="829"/>
      <c r="AH397" s="829"/>
      <c r="AI397" s="829"/>
      <c r="AJ397" s="829"/>
    </row>
    <row r="398" spans="1:36" ht="12.95" customHeight="1">
      <c r="C398"/>
      <c r="D398" s="41" t="s">
        <v>2191</v>
      </c>
      <c r="AG398" s="829"/>
      <c r="AH398" s="829"/>
      <c r="AI398" s="1149" t="s">
        <v>482</v>
      </c>
      <c r="AJ398" s="1149"/>
    </row>
    <row r="399" spans="1:36" ht="12.95" customHeight="1">
      <c r="C399"/>
      <c r="D399" s="41" t="s">
        <v>1956</v>
      </c>
      <c r="T399" s="1323"/>
      <c r="U399" s="1323"/>
      <c r="V399" s="1323"/>
      <c r="W399" s="1323"/>
      <c r="X399" s="1323"/>
      <c r="Y399" s="1323"/>
      <c r="Z399" s="1323"/>
      <c r="AA399" s="1323"/>
      <c r="AB399" s="1323"/>
      <c r="AC399" s="1323"/>
      <c r="AD399" s="1323"/>
      <c r="AE399" s="1323"/>
      <c r="AF399" s="1323"/>
      <c r="AG399" s="1323"/>
      <c r="AH399" s="1323"/>
      <c r="AI399" s="1323"/>
      <c r="AJ399" s="1323"/>
    </row>
    <row r="400" spans="1:36" ht="12.95" customHeight="1">
      <c r="C400"/>
      <c r="D400" s="41" t="s">
        <v>1957</v>
      </c>
      <c r="T400" s="1323"/>
      <c r="U400" s="1323"/>
      <c r="V400" s="1323"/>
      <c r="W400" s="1323"/>
      <c r="X400" s="1323"/>
      <c r="Y400" s="1323"/>
      <c r="Z400" s="1323"/>
      <c r="AA400" s="1323"/>
      <c r="AB400" s="1323"/>
      <c r="AC400" s="1323"/>
      <c r="AD400" s="1323"/>
      <c r="AE400" s="1323"/>
      <c r="AF400" s="1323"/>
      <c r="AG400" s="1323"/>
      <c r="AH400" s="1323"/>
      <c r="AI400" s="1323"/>
      <c r="AJ400" s="1323"/>
    </row>
    <row r="401" spans="1:36" ht="12.95" customHeight="1">
      <c r="C401"/>
      <c r="AG401" s="829"/>
      <c r="AH401" s="829"/>
      <c r="AI401" s="829"/>
      <c r="AJ401" s="829"/>
    </row>
    <row r="402" spans="1:36" ht="12.95" customHeight="1">
      <c r="C402"/>
      <c r="D402" s="41" t="s">
        <v>1958</v>
      </c>
      <c r="S402" s="1323" t="s">
        <v>482</v>
      </c>
      <c r="T402" s="1323"/>
      <c r="U402" s="1323"/>
      <c r="V402" t="s">
        <v>1959</v>
      </c>
      <c r="AG402" s="1602"/>
      <c r="AH402" s="1602"/>
      <c r="AI402" s="1602"/>
      <c r="AJ402" s="1602"/>
    </row>
    <row r="403" spans="1:36" ht="12.95" customHeight="1">
      <c r="C403"/>
      <c r="D403" s="41" t="s">
        <v>1960</v>
      </c>
      <c r="S403" s="1323" t="s">
        <v>124</v>
      </c>
      <c r="T403" s="1323"/>
      <c r="U403" s="1323"/>
      <c r="V403" t="s">
        <v>1961</v>
      </c>
      <c r="AE403" s="1346"/>
      <c r="AF403" s="1346"/>
      <c r="AG403" s="1346"/>
      <c r="AH403" s="1346"/>
      <c r="AI403" s="1346"/>
      <c r="AJ403" s="1346"/>
    </row>
    <row r="404" spans="1:36" ht="12.95" customHeight="1">
      <c r="C404"/>
      <c r="D404" s="41" t="s">
        <v>1962</v>
      </c>
      <c r="K404" s="1458"/>
      <c r="L404" s="1458"/>
      <c r="M404" s="1458"/>
      <c r="N404" s="1458"/>
      <c r="O404" s="1458"/>
      <c r="P404" s="1458"/>
      <c r="Q404" s="1458"/>
      <c r="R404" s="1458"/>
      <c r="S404" s="1458"/>
      <c r="T404" s="1458"/>
      <c r="U404" s="1458"/>
      <c r="V404" s="1458"/>
      <c r="W404" s="1458"/>
      <c r="X404" s="1458"/>
      <c r="Y404" s="1458"/>
      <c r="Z404" s="1458"/>
      <c r="AA404" s="1458"/>
      <c r="AB404" s="1458"/>
      <c r="AC404" s="1458"/>
      <c r="AD404" s="1458"/>
      <c r="AE404" s="1458"/>
      <c r="AF404" s="1458"/>
      <c r="AG404" s="1458"/>
      <c r="AH404" s="1458"/>
      <c r="AI404" s="1458"/>
      <c r="AJ404" s="1458"/>
    </row>
    <row r="405" spans="1:36" ht="12.95" customHeight="1">
      <c r="C405"/>
      <c r="D405" s="41" t="s">
        <v>1963</v>
      </c>
      <c r="K405" s="1458"/>
      <c r="L405" s="1458"/>
      <c r="M405" s="1458"/>
      <c r="N405" s="1458"/>
      <c r="O405" s="1458"/>
      <c r="P405" s="1458"/>
      <c r="Q405" s="1458"/>
      <c r="R405" s="1458"/>
      <c r="S405" s="1458"/>
      <c r="T405" s="1458"/>
      <c r="U405" s="1458"/>
      <c r="V405" s="1458"/>
      <c r="W405" s="1458"/>
      <c r="X405" s="1458"/>
      <c r="Y405" s="1458"/>
      <c r="Z405" s="1458"/>
      <c r="AA405" s="1458"/>
      <c r="AB405" s="1458"/>
      <c r="AC405" s="1458"/>
      <c r="AD405" s="1458"/>
      <c r="AE405" s="1458"/>
      <c r="AF405" s="1458"/>
      <c r="AG405" s="1458"/>
      <c r="AH405" s="1458"/>
      <c r="AI405" s="1458"/>
      <c r="AJ405" s="1458"/>
    </row>
    <row r="406" spans="1:36" ht="12.95" customHeight="1">
      <c r="C406"/>
      <c r="D406" s="41" t="s">
        <v>1964</v>
      </c>
      <c r="E406" s="810"/>
      <c r="F406" s="810"/>
      <c r="G406" s="810"/>
      <c r="H406" s="810"/>
      <c r="I406" s="810"/>
      <c r="J406" s="810"/>
      <c r="K406" s="810"/>
      <c r="L406" s="810"/>
      <c r="M406" s="810"/>
      <c r="N406" s="810"/>
      <c r="O406" s="810"/>
      <c r="P406" s="810"/>
      <c r="Q406" s="810"/>
      <c r="R406" s="810"/>
      <c r="S406" s="1604" t="s">
        <v>1965</v>
      </c>
      <c r="T406" s="1604"/>
      <c r="U406" s="1604"/>
      <c r="V406" s="1604"/>
      <c r="W406" s="1604"/>
      <c r="X406" s="1604"/>
      <c r="Y406" s="1604"/>
      <c r="Z406" s="1604"/>
      <c r="AA406" s="1604"/>
      <c r="AB406" s="1604"/>
      <c r="AC406" s="1604"/>
      <c r="AD406" s="1604"/>
      <c r="AE406" s="1604"/>
      <c r="AF406" s="1604"/>
      <c r="AG406" s="1604"/>
      <c r="AH406" s="1604"/>
      <c r="AI406" s="1604"/>
      <c r="AJ406" s="1604"/>
    </row>
    <row r="407" spans="1:36" ht="12.95" customHeight="1">
      <c r="C407"/>
      <c r="D407" s="982" t="s">
        <v>1966</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5"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54" t="s">
        <v>2410</v>
      </c>
      <c r="J411" s="1154"/>
      <c r="K411" s="1154"/>
      <c r="L411" s="1154"/>
      <c r="M411" s="1154"/>
      <c r="N411" s="1154"/>
      <c r="O411" s="1154"/>
      <c r="P411" s="1154"/>
      <c r="Q411" s="1154"/>
      <c r="R411" s="1154"/>
      <c r="S411" s="1154"/>
      <c r="T411" s="1154"/>
      <c r="U411" s="1154"/>
      <c r="V411" s="1154"/>
      <c r="W411" s="1154"/>
      <c r="X411" s="1154"/>
      <c r="Y411" s="1154"/>
      <c r="Z411" s="1154"/>
      <c r="AA411" s="1154"/>
      <c r="AB411" s="1154"/>
      <c r="AC411" s="1154"/>
      <c r="AD411" s="1154"/>
    </row>
    <row r="412" spans="1:36" ht="12.95" customHeight="1">
      <c r="C412"/>
      <c r="E412" t="s">
        <v>855</v>
      </c>
      <c r="R412" s="1149" t="s">
        <v>124</v>
      </c>
      <c r="S412" s="1149"/>
      <c r="T412" t="s">
        <v>291</v>
      </c>
      <c r="AD412" s="1152">
        <v>0</v>
      </c>
      <c r="AE412" s="1152"/>
    </row>
    <row r="413" spans="1:36" ht="12.95" customHeight="1">
      <c r="C413"/>
      <c r="E413" t="s">
        <v>856</v>
      </c>
      <c r="R413" s="1149" t="s">
        <v>108</v>
      </c>
      <c r="S413" s="1149"/>
      <c r="T413" t="s">
        <v>291</v>
      </c>
      <c r="AD413" s="1152">
        <v>3</v>
      </c>
      <c r="AE413" s="1152"/>
    </row>
    <row r="414" spans="1:36" ht="12.95" customHeight="1">
      <c r="C414"/>
      <c r="E414" t="s">
        <v>857</v>
      </c>
      <c r="S414" s="1149" t="s">
        <v>124</v>
      </c>
      <c r="T414" s="1149"/>
    </row>
    <row r="415" spans="1:36" ht="12.95" customHeight="1">
      <c r="C415"/>
      <c r="E415" t="s">
        <v>283</v>
      </c>
      <c r="H415" s="1150" t="s">
        <v>2411</v>
      </c>
      <c r="I415" s="1150"/>
      <c r="J415" s="1150"/>
      <c r="K415" s="1150"/>
      <c r="L415" s="1150"/>
      <c r="M415" s="1150"/>
      <c r="N415" s="1150"/>
      <c r="O415" s="1150"/>
      <c r="P415" s="1150"/>
      <c r="Q415" s="1150"/>
      <c r="R415" s="1150"/>
      <c r="S415" s="1150"/>
      <c r="T415" s="1150"/>
      <c r="U415" s="1150"/>
      <c r="V415" s="1150"/>
      <c r="W415" s="1150"/>
      <c r="X415" s="1150"/>
      <c r="Y415" s="1150"/>
      <c r="Z415" s="1150"/>
      <c r="AA415" s="1150"/>
      <c r="AB415" s="1150"/>
      <c r="AC415" s="1150"/>
      <c r="AD415" s="1150"/>
      <c r="AE415" s="1150"/>
      <c r="AF415" s="1150"/>
      <c r="AG415" s="1150"/>
      <c r="AH415" s="1150"/>
      <c r="AI415" s="1150"/>
      <c r="AJ415" s="1150"/>
    </row>
    <row r="416" spans="1:36" ht="12.95" customHeight="1">
      <c r="C416"/>
      <c r="H416" s="1151"/>
      <c r="I416" s="1151"/>
      <c r="J416" s="1151"/>
      <c r="K416" s="1151"/>
      <c r="L416" s="1151"/>
      <c r="M416" s="1151"/>
      <c r="N416" s="1151"/>
      <c r="O416" s="1151"/>
      <c r="P416" s="1151"/>
      <c r="Q416" s="1151"/>
      <c r="R416" s="1151"/>
      <c r="S416" s="1151"/>
      <c r="T416" s="1151"/>
      <c r="U416" s="1151"/>
      <c r="V416" s="1151"/>
      <c r="W416" s="1151"/>
      <c r="X416" s="1151"/>
      <c r="Y416" s="1151"/>
      <c r="Z416" s="1151"/>
      <c r="AA416" s="1151"/>
      <c r="AB416" s="1151"/>
      <c r="AC416" s="1151"/>
      <c r="AD416" s="1151"/>
      <c r="AE416" s="1151"/>
      <c r="AF416" s="1151"/>
      <c r="AG416" s="1151"/>
      <c r="AH416" s="1151"/>
      <c r="AI416" s="1151"/>
      <c r="AJ416" s="1151"/>
    </row>
    <row r="417" spans="1:36" ht="12.95" customHeight="1">
      <c r="C417"/>
    </row>
    <row r="418" spans="1:36" ht="12.95" customHeight="1">
      <c r="A418" s="3" t="s">
        <v>123</v>
      </c>
      <c r="B418" s="3"/>
      <c r="C418" s="3"/>
      <c r="D418" s="3" t="s">
        <v>902</v>
      </c>
      <c r="AE418" s="5"/>
      <c r="AF418" s="3" t="s">
        <v>1214</v>
      </c>
    </row>
    <row r="419" spans="1:36" ht="12.95" customHeight="1">
      <c r="C419"/>
      <c r="E419" s="1329"/>
      <c r="F419" s="1329"/>
      <c r="G419" s="1329"/>
      <c r="H419" s="18" t="s">
        <v>903</v>
      </c>
      <c r="I419" s="1329"/>
      <c r="J419" s="1329"/>
      <c r="K419" s="1329"/>
      <c r="L419" t="s">
        <v>904</v>
      </c>
      <c r="N419" s="34" t="s">
        <v>851</v>
      </c>
      <c r="P419" s="1356">
        <v>4.0599999999999996</v>
      </c>
      <c r="Q419" s="1356"/>
      <c r="R419" s="1356"/>
      <c r="S419" t="s">
        <v>905</v>
      </c>
      <c r="W419" s="1357">
        <f>IF(E419&gt;0,(E419*I419),(P419*43560))</f>
        <v>176853.59999999998</v>
      </c>
      <c r="X419" s="1357"/>
      <c r="Y419" s="1357"/>
      <c r="Z419" t="s">
        <v>906</v>
      </c>
      <c r="AF419" s="1330" cm="1">
        <f t="array" ref="AF419">_xlfn.IFS(P419&gt;0,(AG438/P419),W419&gt;0,(AG438/(W419/43560)),TRUE,0)</f>
        <v>12.315270935960593</v>
      </c>
      <c r="AG419" s="1330"/>
      <c r="AH419" s="1330"/>
    </row>
    <row r="420" spans="1:36" ht="12.95" customHeight="1">
      <c r="C420"/>
      <c r="E420" t="s">
        <v>203</v>
      </c>
    </row>
    <row r="421" spans="1:36" ht="12.95" customHeight="1">
      <c r="C421"/>
      <c r="E421" s="1392"/>
      <c r="F421" s="1392"/>
      <c r="G421" s="1392"/>
      <c r="H421" s="1392"/>
      <c r="I421" s="1392"/>
      <c r="J421" s="1392"/>
      <c r="K421" s="1392"/>
      <c r="L421" s="1392"/>
      <c r="M421" s="1392"/>
      <c r="N421" s="1392"/>
      <c r="O421" s="1392"/>
      <c r="P421" s="1392"/>
      <c r="Q421" s="1392"/>
      <c r="R421" s="1392"/>
      <c r="S421" s="1392"/>
      <c r="T421" s="1392"/>
      <c r="U421" s="1392"/>
      <c r="V421" s="1392"/>
      <c r="W421" s="1392"/>
      <c r="X421" s="1392"/>
      <c r="Y421" s="1392"/>
      <c r="Z421" s="1392"/>
      <c r="AA421" s="1392"/>
      <c r="AB421" s="1392"/>
      <c r="AC421" s="1392"/>
      <c r="AD421" s="1392"/>
      <c r="AE421" s="1392"/>
      <c r="AF421" s="1392"/>
      <c r="AG421" s="1392"/>
      <c r="AH421" s="1392"/>
      <c r="AI421" s="1392"/>
      <c r="AJ421" s="1392"/>
    </row>
    <row r="422" spans="1:36" ht="12.95" customHeight="1">
      <c r="C422"/>
      <c r="E422" s="268" t="s">
        <v>1967</v>
      </c>
      <c r="F422" s="29"/>
      <c r="G422" s="29"/>
      <c r="H422" s="29"/>
      <c r="I422" s="1388">
        <v>4.0599999999999996</v>
      </c>
      <c r="J422" s="1388"/>
      <c r="K422" s="1388"/>
      <c r="L422" s="29"/>
      <c r="M422" s="268"/>
      <c r="N422" s="29"/>
      <c r="O422" s="29"/>
      <c r="P422" s="1328">
        <f>(CQ636+CS641+CQ655)/I422</f>
        <v>24.384236453201972</v>
      </c>
      <c r="Q422" s="1328"/>
      <c r="R422" s="1328"/>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49">
        <v>7</v>
      </c>
      <c r="Q425" s="1149"/>
      <c r="S425" t="s">
        <v>134</v>
      </c>
      <c r="AE425" s="1149">
        <v>6</v>
      </c>
      <c r="AF425" s="1149"/>
    </row>
    <row r="426" spans="1:36" ht="12.95" customHeight="1">
      <c r="C426"/>
      <c r="E426" t="s">
        <v>135</v>
      </c>
      <c r="P426" s="1149">
        <v>1</v>
      </c>
      <c r="Q426" s="1149"/>
      <c r="S426" t="s">
        <v>726</v>
      </c>
      <c r="AE426" s="1149" t="s">
        <v>124</v>
      </c>
      <c r="AF426" s="1149"/>
    </row>
    <row r="427" spans="1:36" ht="12.95" customHeight="1">
      <c r="C427"/>
      <c r="F427" s="36" t="s">
        <v>221</v>
      </c>
    </row>
    <row r="428" spans="1:36" ht="12.95" customHeight="1">
      <c r="C428"/>
      <c r="F428" s="1386"/>
      <c r="G428" s="1386"/>
      <c r="H428" s="1386"/>
      <c r="I428" s="1386"/>
      <c r="J428" s="1386"/>
      <c r="K428" s="1386"/>
      <c r="L428" s="1386"/>
      <c r="M428" s="1386"/>
      <c r="N428" s="1386"/>
      <c r="O428" s="1386"/>
      <c r="P428" s="1386"/>
      <c r="Q428" s="1386"/>
      <c r="R428" s="1386"/>
      <c r="S428" s="1386"/>
      <c r="T428" s="1386"/>
      <c r="U428" s="1386"/>
      <c r="V428" s="1386"/>
      <c r="W428" s="1386"/>
      <c r="X428" s="1386"/>
      <c r="Y428" s="1386"/>
      <c r="Z428" s="1386"/>
      <c r="AA428" s="1386"/>
      <c r="AB428" s="1386"/>
      <c r="AC428" s="1386"/>
      <c r="AD428" s="1386"/>
      <c r="AE428" s="1386"/>
      <c r="AF428" s="1386"/>
      <c r="AG428" s="1386"/>
      <c r="AH428" s="1386"/>
    </row>
    <row r="429" spans="1:36" ht="12.95" customHeight="1">
      <c r="C429"/>
      <c r="F429" s="1387"/>
      <c r="G429" s="1387"/>
      <c r="H429" s="1387"/>
      <c r="I429" s="1387"/>
      <c r="J429" s="1387"/>
      <c r="K429" s="1387"/>
      <c r="L429" s="1387"/>
      <c r="M429" s="1387"/>
      <c r="N429" s="1387"/>
      <c r="O429" s="1387"/>
      <c r="P429" s="1387"/>
      <c r="Q429" s="1387"/>
      <c r="R429" s="1387"/>
      <c r="S429" s="1387"/>
      <c r="T429" s="1387"/>
      <c r="U429" s="1387"/>
      <c r="V429" s="1387"/>
      <c r="W429" s="1387"/>
      <c r="X429" s="1387"/>
      <c r="Y429" s="1387"/>
      <c r="Z429" s="1387"/>
      <c r="AA429" s="1387"/>
      <c r="AB429" s="1387"/>
      <c r="AC429" s="1387"/>
      <c r="AD429" s="1387"/>
      <c r="AE429" s="1387"/>
      <c r="AF429" s="1387"/>
      <c r="AG429" s="1387"/>
      <c r="AH429" s="1387"/>
    </row>
    <row r="430" spans="1:36" ht="12.95" customHeight="1">
      <c r="C430"/>
      <c r="E430" t="s">
        <v>858</v>
      </c>
      <c r="P430" s="1"/>
      <c r="Q430" s="1149" t="s">
        <v>482</v>
      </c>
      <c r="R430" s="1149"/>
      <c r="AE430" s="1"/>
      <c r="AF430" s="1"/>
    </row>
    <row r="431" spans="1:36" ht="12.95" customHeight="1">
      <c r="C431"/>
      <c r="F431" t="s">
        <v>859</v>
      </c>
      <c r="P431" s="1"/>
      <c r="Q431" s="1"/>
      <c r="AE431" s="1149" t="s">
        <v>124</v>
      </c>
      <c r="AF431" s="1456"/>
    </row>
    <row r="432" spans="1:36" ht="12.95" customHeight="1">
      <c r="C432"/>
    </row>
    <row r="433" spans="1:36" ht="12.95" customHeight="1">
      <c r="A433" s="3"/>
      <c r="B433" s="3"/>
      <c r="C433" s="3"/>
      <c r="E433" s="5" t="s">
        <v>80</v>
      </c>
      <c r="Z433" s="1149" t="s">
        <v>482</v>
      </c>
      <c r="AA433" s="1149"/>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49" t="s">
        <v>124</v>
      </c>
      <c r="AA435" s="1149"/>
    </row>
    <row r="436" spans="1:36" ht="12.95" customHeight="1">
      <c r="C436"/>
    </row>
    <row r="437" spans="1:36" ht="12.95" customHeight="1">
      <c r="A437" s="3" t="s">
        <v>367</v>
      </c>
      <c r="B437" s="3"/>
      <c r="C437" s="3"/>
      <c r="D437" s="3" t="s">
        <v>172</v>
      </c>
      <c r="AF437" s="54"/>
    </row>
    <row r="438" spans="1:36" ht="12.95" customHeight="1">
      <c r="C438"/>
      <c r="D438" s="1391" t="s">
        <v>356</v>
      </c>
      <c r="E438" s="1354"/>
      <c r="F438" s="1354"/>
      <c r="G438" s="1354"/>
      <c r="H438" s="1354"/>
      <c r="I438" s="1354"/>
      <c r="J438" s="1354"/>
      <c r="K438" s="1354"/>
      <c r="L438" s="1354"/>
      <c r="M438" s="1354"/>
      <c r="N438" s="1354"/>
      <c r="O438" s="1354"/>
      <c r="P438" s="1354"/>
      <c r="Q438" s="1354"/>
      <c r="R438" s="1354"/>
      <c r="S438" s="1354"/>
      <c r="T438" s="1354"/>
      <c r="U438" s="1354"/>
      <c r="V438" s="1354"/>
      <c r="W438" s="1354"/>
      <c r="X438" s="1354"/>
      <c r="Y438" s="1354"/>
      <c r="Z438" s="1354"/>
      <c r="AA438" s="1354"/>
      <c r="AB438" s="1354"/>
      <c r="AC438" s="1354"/>
      <c r="AD438" s="1354"/>
      <c r="AE438" s="1354"/>
      <c r="AF438" s="1355"/>
      <c r="AG438" s="1142">
        <v>50</v>
      </c>
      <c r="AH438" s="1142"/>
      <c r="AI438" s="1142"/>
      <c r="AJ438" s="1142"/>
    </row>
    <row r="439" spans="1:36" ht="12.95" customHeight="1">
      <c r="C439"/>
      <c r="D439" s="1348" t="s">
        <v>2256</v>
      </c>
      <c r="E439" s="1144"/>
      <c r="F439" s="1144"/>
      <c r="G439" s="1144"/>
      <c r="H439" s="1144"/>
      <c r="I439" s="1144"/>
      <c r="J439" s="1144"/>
      <c r="K439" s="1144"/>
      <c r="L439" s="1144"/>
      <c r="M439" s="1144"/>
      <c r="N439" s="1144"/>
      <c r="O439" s="1144"/>
      <c r="P439" s="1144"/>
      <c r="Q439" s="1144"/>
      <c r="R439" s="1144"/>
      <c r="S439" s="1144"/>
      <c r="T439" s="1144"/>
      <c r="U439" s="1144"/>
      <c r="V439" s="1144"/>
      <c r="W439" s="1144"/>
      <c r="X439" s="1144"/>
      <c r="Y439" s="1144"/>
      <c r="Z439" s="1144"/>
      <c r="AA439" s="1144"/>
      <c r="AB439" s="1144"/>
      <c r="AC439" s="1144"/>
      <c r="AD439" s="1144"/>
      <c r="AE439" s="1144"/>
      <c r="AF439" s="1145"/>
      <c r="AG439" s="1324">
        <v>0</v>
      </c>
      <c r="AH439" s="1325"/>
      <c r="AI439" s="1325"/>
      <c r="AJ439" s="1325"/>
    </row>
    <row r="440" spans="1:36" ht="12.95" customHeight="1">
      <c r="C440"/>
      <c r="D440" s="1143" t="s">
        <v>1368</v>
      </c>
      <c r="E440" s="1144"/>
      <c r="F440" s="1144"/>
      <c r="G440" s="1144"/>
      <c r="H440" s="1144"/>
      <c r="I440" s="1144"/>
      <c r="J440" s="1144"/>
      <c r="K440" s="1144"/>
      <c r="L440" s="1144"/>
      <c r="M440" s="1144"/>
      <c r="N440" s="1144"/>
      <c r="O440" s="1144"/>
      <c r="P440" s="1144"/>
      <c r="Q440" s="1144"/>
      <c r="R440" s="1144"/>
      <c r="S440" s="1144"/>
      <c r="T440" s="1144"/>
      <c r="U440" s="1144"/>
      <c r="V440" s="1144"/>
      <c r="W440" s="1144"/>
      <c r="X440" s="1144"/>
      <c r="Y440" s="1144"/>
      <c r="Z440" s="1144"/>
      <c r="AA440" s="1144"/>
      <c r="AB440" s="1144"/>
      <c r="AC440" s="1144"/>
      <c r="AD440" s="1144"/>
      <c r="AE440" s="1144"/>
      <c r="AF440" s="1145"/>
      <c r="AG440" s="1142">
        <v>49</v>
      </c>
      <c r="AH440" s="1142"/>
      <c r="AI440" s="1142"/>
      <c r="AJ440" s="1142"/>
    </row>
    <row r="441" spans="1:36" ht="12.95" customHeight="1">
      <c r="C441"/>
      <c r="D441" s="1143" t="s">
        <v>1365</v>
      </c>
      <c r="E441" s="1144"/>
      <c r="F441" s="1144"/>
      <c r="G441" s="1144"/>
      <c r="H441" s="1144"/>
      <c r="I441" s="1144"/>
      <c r="J441" s="1144"/>
      <c r="K441" s="1144"/>
      <c r="L441" s="1144"/>
      <c r="M441" s="1144"/>
      <c r="N441" s="1144"/>
      <c r="O441" s="1144"/>
      <c r="P441" s="1144"/>
      <c r="Q441" s="1144"/>
      <c r="R441" s="1144"/>
      <c r="S441" s="1144"/>
      <c r="T441" s="1144"/>
      <c r="U441" s="1144"/>
      <c r="V441" s="1144"/>
      <c r="W441" s="1144"/>
      <c r="X441" s="1144"/>
      <c r="Y441" s="1144"/>
      <c r="Z441" s="1144"/>
      <c r="AA441" s="1144"/>
      <c r="AB441" s="1144"/>
      <c r="AC441" s="1144"/>
      <c r="AD441" s="1144"/>
      <c r="AE441" s="1144"/>
      <c r="AF441" s="1145"/>
      <c r="AG441" s="1142">
        <v>49</v>
      </c>
      <c r="AH441" s="1142"/>
      <c r="AI441" s="1142"/>
      <c r="AJ441" s="1142"/>
    </row>
    <row r="442" spans="1:36" ht="12.95" customHeight="1">
      <c r="C442"/>
      <c r="D442" s="1143" t="s">
        <v>1369</v>
      </c>
      <c r="E442" s="1144"/>
      <c r="F442" s="1144"/>
      <c r="G442" s="1144"/>
      <c r="H442" s="1144"/>
      <c r="I442" s="1144"/>
      <c r="J442" s="1144"/>
      <c r="K442" s="1144"/>
      <c r="L442" s="1144"/>
      <c r="M442" s="1144"/>
      <c r="N442" s="1144"/>
      <c r="O442" s="1144"/>
      <c r="P442" s="1144"/>
      <c r="Q442" s="1144"/>
      <c r="R442" s="1144"/>
      <c r="S442" s="1144"/>
      <c r="T442" s="1144"/>
      <c r="U442" s="1144"/>
      <c r="V442" s="1144"/>
      <c r="W442" s="1144"/>
      <c r="X442" s="1144"/>
      <c r="Y442" s="1144"/>
      <c r="Z442" s="1144"/>
      <c r="AA442" s="1144"/>
      <c r="AB442" s="1144"/>
      <c r="AC442" s="1144"/>
      <c r="AD442" s="1144"/>
      <c r="AE442" s="1144"/>
      <c r="AF442" s="1145"/>
      <c r="AG442" s="1347">
        <f>IF(ISERROR(AG441/AG440),"",AG441/AG440)</f>
        <v>1</v>
      </c>
      <c r="AH442" s="1347"/>
      <c r="AI442" s="1347"/>
      <c r="AJ442" s="1347"/>
    </row>
    <row r="443" spans="1:36" ht="12.95" customHeight="1">
      <c r="C443"/>
      <c r="D443" s="1143" t="s">
        <v>1367</v>
      </c>
      <c r="E443" s="1144"/>
      <c r="F443" s="1144"/>
      <c r="G443" s="1144"/>
      <c r="H443" s="1144"/>
      <c r="I443" s="1144"/>
      <c r="J443" s="1144"/>
      <c r="K443" s="1144"/>
      <c r="L443" s="1144"/>
      <c r="M443" s="1144"/>
      <c r="N443" s="1144"/>
      <c r="O443" s="1144"/>
      <c r="P443" s="1144"/>
      <c r="Q443" s="1144"/>
      <c r="R443" s="1144"/>
      <c r="S443" s="1144"/>
      <c r="T443" s="1144"/>
      <c r="U443" s="1144"/>
      <c r="V443" s="1144"/>
      <c r="W443" s="1144"/>
      <c r="X443" s="1144"/>
      <c r="Y443" s="1144"/>
      <c r="Z443" s="1144"/>
      <c r="AA443" s="1144"/>
      <c r="AB443" s="1144"/>
      <c r="AC443" s="1144"/>
      <c r="AD443" s="1144"/>
      <c r="AE443" s="1144"/>
      <c r="AF443" s="1145"/>
      <c r="AG443" s="1153">
        <f>40719-1106</f>
        <v>39613</v>
      </c>
      <c r="AH443" s="1153"/>
      <c r="AI443" s="1153"/>
      <c r="AJ443" s="1153"/>
    </row>
    <row r="444" spans="1:36" ht="12.95" customHeight="1">
      <c r="C444"/>
      <c r="D444" s="1143" t="s">
        <v>1366</v>
      </c>
      <c r="E444" s="1144"/>
      <c r="F444" s="1144"/>
      <c r="G444" s="1144"/>
      <c r="H444" s="1144"/>
      <c r="I444" s="1144"/>
      <c r="J444" s="1144"/>
      <c r="K444" s="1144"/>
      <c r="L444" s="1144"/>
      <c r="M444" s="1144"/>
      <c r="N444" s="1144"/>
      <c r="O444" s="1144"/>
      <c r="P444" s="1144"/>
      <c r="Q444" s="1144"/>
      <c r="R444" s="1144"/>
      <c r="S444" s="1144"/>
      <c r="T444" s="1144"/>
      <c r="U444" s="1144"/>
      <c r="V444" s="1144"/>
      <c r="W444" s="1144"/>
      <c r="X444" s="1144"/>
      <c r="Y444" s="1144"/>
      <c r="Z444" s="1144"/>
      <c r="AA444" s="1144"/>
      <c r="AB444" s="1144"/>
      <c r="AC444" s="1144"/>
      <c r="AD444" s="1144"/>
      <c r="AE444" s="1144"/>
      <c r="AF444" s="1145"/>
      <c r="AG444" s="1153">
        <v>39613</v>
      </c>
      <c r="AH444" s="1153"/>
      <c r="AI444" s="1153"/>
      <c r="AJ444" s="1153"/>
    </row>
    <row r="445" spans="1:36" ht="12.95" customHeight="1">
      <c r="C445"/>
      <c r="D445" s="1143" t="s">
        <v>1372</v>
      </c>
      <c r="E445" s="1144"/>
      <c r="F445" s="1144"/>
      <c r="G445" s="1144"/>
      <c r="H445" s="1144"/>
      <c r="I445" s="1144"/>
      <c r="J445" s="1144"/>
      <c r="K445" s="1144"/>
      <c r="L445" s="1144"/>
      <c r="M445" s="1144"/>
      <c r="N445" s="1144"/>
      <c r="O445" s="1144"/>
      <c r="P445" s="1144"/>
      <c r="Q445" s="1144"/>
      <c r="R445" s="1144"/>
      <c r="S445" s="1144"/>
      <c r="T445" s="1144"/>
      <c r="U445" s="1144"/>
      <c r="V445" s="1144"/>
      <c r="W445" s="1144"/>
      <c r="X445" s="1144"/>
      <c r="Y445" s="1144"/>
      <c r="Z445" s="1144"/>
      <c r="AA445" s="1144"/>
      <c r="AB445" s="1144"/>
      <c r="AC445" s="1144"/>
      <c r="AD445" s="1144"/>
      <c r="AE445" s="1144"/>
      <c r="AF445" s="1145"/>
      <c r="AG445" s="1347">
        <f>IF(ISERROR(AG444/AG443),"",AG444/AG443)</f>
        <v>1</v>
      </c>
      <c r="AH445" s="1347"/>
      <c r="AI445" s="1347"/>
      <c r="AJ445" s="1347"/>
    </row>
    <row r="446" spans="1:36" ht="12.95" customHeight="1">
      <c r="C446"/>
      <c r="D446" s="1143" t="s">
        <v>1370</v>
      </c>
      <c r="E446" s="1144"/>
      <c r="F446" s="1144"/>
      <c r="G446" s="1144"/>
      <c r="H446" s="1144"/>
      <c r="I446" s="1144"/>
      <c r="J446" s="1144"/>
      <c r="K446" s="1144"/>
      <c r="L446" s="1144"/>
      <c r="M446" s="1144"/>
      <c r="N446" s="1144"/>
      <c r="O446" s="1144"/>
      <c r="P446" s="1144"/>
      <c r="Q446" s="1144"/>
      <c r="R446" s="1144"/>
      <c r="S446" s="1144"/>
      <c r="T446" s="1144"/>
      <c r="U446" s="1144"/>
      <c r="V446" s="1144"/>
      <c r="W446" s="1144"/>
      <c r="X446" s="1144"/>
      <c r="Y446" s="1144"/>
      <c r="Z446" s="1144"/>
      <c r="AA446" s="1144"/>
      <c r="AB446" s="1144"/>
      <c r="AC446" s="1144"/>
      <c r="AD446" s="1144"/>
      <c r="AE446" s="1144"/>
      <c r="AF446" s="1145"/>
      <c r="AG446" s="1347">
        <f>MIN(IF(AG442&gt;AG445,AG445,AG442),1)</f>
        <v>1</v>
      </c>
      <c r="AH446" s="1347"/>
      <c r="AI446" s="1347"/>
      <c r="AJ446" s="1347"/>
    </row>
    <row r="447" spans="1:36" ht="12.95" customHeight="1">
      <c r="C447"/>
      <c r="D447" s="1348" t="s">
        <v>2097</v>
      </c>
      <c r="E447" s="1354"/>
      <c r="F447" s="1354"/>
      <c r="G447" s="1354"/>
      <c r="H447" s="1354"/>
      <c r="I447" s="1354"/>
      <c r="J447" s="1354"/>
      <c r="K447" s="1354"/>
      <c r="L447" s="1354"/>
      <c r="M447" s="1354"/>
      <c r="N447" s="1354"/>
      <c r="O447" s="1354"/>
      <c r="P447" s="1354"/>
      <c r="Q447" s="1354"/>
      <c r="R447" s="1354"/>
      <c r="S447" s="1354"/>
      <c r="T447" s="1354"/>
      <c r="U447" s="1354"/>
      <c r="V447" s="1354"/>
      <c r="W447" s="1354"/>
      <c r="X447" s="1354"/>
      <c r="Y447" s="1354"/>
      <c r="Z447" s="1354"/>
      <c r="AA447" s="1354"/>
      <c r="AB447" s="1354"/>
      <c r="AC447" s="1354"/>
      <c r="AD447" s="1354"/>
      <c r="AE447" s="1354"/>
      <c r="AF447" s="1355"/>
      <c r="AG447" s="1153">
        <v>3285</v>
      </c>
      <c r="AH447" s="1153"/>
      <c r="AI447" s="1153"/>
      <c r="AJ447" s="1153"/>
    </row>
    <row r="448" spans="1:36" ht="12.95" customHeight="1">
      <c r="C448"/>
      <c r="D448" s="1143" t="s">
        <v>208</v>
      </c>
      <c r="E448" s="1144"/>
      <c r="F448" s="1144"/>
      <c r="G448" s="1144"/>
      <c r="H448" s="1144"/>
      <c r="I448" s="1144"/>
      <c r="J448" s="1144"/>
      <c r="K448" s="1144"/>
      <c r="L448" s="1144"/>
      <c r="M448" s="1144"/>
      <c r="N448" s="1144"/>
      <c r="O448" s="1144"/>
      <c r="P448" s="1144"/>
      <c r="Q448" s="1144"/>
      <c r="R448" s="1144"/>
      <c r="S448" s="1144"/>
      <c r="T448" s="1144"/>
      <c r="U448" s="1144"/>
      <c r="V448" s="1144"/>
      <c r="W448" s="1144"/>
      <c r="X448" s="1144"/>
      <c r="Y448" s="1144"/>
      <c r="Z448" s="1144"/>
      <c r="AA448" s="1144"/>
      <c r="AB448" s="1144"/>
      <c r="AC448" s="1144"/>
      <c r="AD448" s="1144"/>
      <c r="AE448" s="1144"/>
      <c r="AF448" s="1145"/>
      <c r="AG448" s="1153">
        <v>0</v>
      </c>
      <c r="AH448" s="1153"/>
      <c r="AI448" s="1153"/>
      <c r="AJ448" s="1153"/>
    </row>
    <row r="449" spans="1:36" ht="12.95" customHeight="1">
      <c r="C449"/>
      <c r="D449" s="1348" t="s">
        <v>1728</v>
      </c>
      <c r="E449" s="1144"/>
      <c r="F449" s="1144"/>
      <c r="G449" s="1144"/>
      <c r="H449" s="1144"/>
      <c r="I449" s="1144"/>
      <c r="J449" s="1144"/>
      <c r="K449" s="1144"/>
      <c r="L449" s="1144"/>
      <c r="M449" s="1144"/>
      <c r="N449" s="1144"/>
      <c r="O449" s="1144"/>
      <c r="P449" s="1144"/>
      <c r="Q449" s="1144"/>
      <c r="R449" s="1144"/>
      <c r="S449" s="1144"/>
      <c r="T449" s="1144"/>
      <c r="U449" s="1144"/>
      <c r="V449" s="1144"/>
      <c r="W449" s="1144"/>
      <c r="X449" s="1144"/>
      <c r="Y449" s="1144"/>
      <c r="Z449" s="1144"/>
      <c r="AA449" s="1144"/>
      <c r="AB449" s="1144"/>
      <c r="AC449" s="1144"/>
      <c r="AD449" s="1144"/>
      <c r="AE449" s="1144"/>
      <c r="AF449" s="1145"/>
      <c r="AG449" s="1153">
        <v>1106</v>
      </c>
      <c r="AH449" s="1153"/>
      <c r="AI449" s="1153"/>
      <c r="AJ449" s="1153"/>
    </row>
    <row r="450" spans="1:36" ht="12.95" customHeight="1">
      <c r="C450"/>
      <c r="D450" s="1143" t="s">
        <v>1371</v>
      </c>
      <c r="E450" s="1144"/>
      <c r="F450" s="1144"/>
      <c r="G450" s="1144"/>
      <c r="H450" s="1144"/>
      <c r="I450" s="1144"/>
      <c r="J450" s="1144"/>
      <c r="K450" s="1144"/>
      <c r="L450" s="1144"/>
      <c r="M450" s="1144"/>
      <c r="N450" s="1144"/>
      <c r="O450" s="1144"/>
      <c r="P450" s="1144"/>
      <c r="Q450" s="1144"/>
      <c r="R450" s="1144"/>
      <c r="S450" s="1144"/>
      <c r="T450" s="1144"/>
      <c r="U450" s="1144"/>
      <c r="V450" s="1144"/>
      <c r="W450" s="1144"/>
      <c r="X450" s="1144"/>
      <c r="Y450" s="1144"/>
      <c r="Z450" s="1144"/>
      <c r="AA450" s="1144"/>
      <c r="AB450" s="1144"/>
      <c r="AC450" s="1144"/>
      <c r="AD450" s="1144"/>
      <c r="AE450" s="1144"/>
      <c r="AF450" s="1145"/>
      <c r="AG450" s="1153">
        <v>0</v>
      </c>
      <c r="AH450" s="1153"/>
      <c r="AI450" s="1153"/>
      <c r="AJ450" s="1153"/>
    </row>
    <row r="451" spans="1:36" ht="12.95" customHeight="1">
      <c r="C451"/>
      <c r="D451" s="1143" t="s">
        <v>1373</v>
      </c>
      <c r="E451" s="1144"/>
      <c r="F451" s="1144"/>
      <c r="G451" s="1144"/>
      <c r="H451" s="1144"/>
      <c r="I451" s="1144"/>
      <c r="J451" s="1144"/>
      <c r="K451" s="1144"/>
      <c r="L451" s="1144"/>
      <c r="M451" s="1144"/>
      <c r="N451" s="1144"/>
      <c r="O451" s="1144"/>
      <c r="P451" s="1144"/>
      <c r="Q451" s="1144"/>
      <c r="R451" s="1144"/>
      <c r="S451" s="1144"/>
      <c r="T451" s="1144"/>
      <c r="U451" s="1144"/>
      <c r="V451" s="1144"/>
      <c r="W451" s="1144"/>
      <c r="X451" s="1144"/>
      <c r="Y451" s="1144"/>
      <c r="Z451" s="1144"/>
      <c r="AA451" s="1144"/>
      <c r="AB451" s="1144"/>
      <c r="AC451" s="1144"/>
      <c r="AD451" s="1144"/>
      <c r="AE451" s="1144"/>
      <c r="AF451" s="1145"/>
      <c r="AG451" s="1385">
        <f>AG443+AG447+AG449+AG450</f>
        <v>44004</v>
      </c>
      <c r="AH451" s="1385"/>
      <c r="AI451" s="1385"/>
      <c r="AJ451" s="1385"/>
    </row>
    <row r="452" spans="1:36" ht="12.95" customHeight="1">
      <c r="C452"/>
      <c r="D452" s="1389" t="s">
        <v>1729</v>
      </c>
      <c r="E452" s="1389"/>
      <c r="F452" s="1389"/>
      <c r="G452" s="1389"/>
      <c r="H452" s="1389"/>
      <c r="I452" s="1389"/>
      <c r="J452" s="1389"/>
      <c r="K452" s="1389"/>
      <c r="L452" s="1389"/>
      <c r="M452" s="1389"/>
      <c r="N452" s="1389"/>
      <c r="O452" s="1389"/>
      <c r="P452" s="1389"/>
      <c r="Q452" s="1389"/>
      <c r="R452" s="1389"/>
      <c r="S452" s="1389"/>
      <c r="T452" s="1389"/>
      <c r="U452" s="1389"/>
      <c r="V452" s="1389"/>
      <c r="W452" s="1389"/>
      <c r="X452" s="1389"/>
      <c r="Y452" s="1389"/>
      <c r="Z452" s="1389"/>
      <c r="AA452" s="1389"/>
      <c r="AB452" s="1389"/>
      <c r="AC452" s="1389"/>
      <c r="AD452" s="1389"/>
      <c r="AE452" s="1389"/>
      <c r="AF452" s="1389"/>
      <c r="AG452" s="1389"/>
      <c r="AH452" s="1389"/>
      <c r="AI452" s="1389"/>
      <c r="AJ452" s="1389"/>
    </row>
    <row r="453" spans="1:36" ht="12.95" customHeight="1">
      <c r="C453"/>
      <c r="D453" s="1390"/>
      <c r="E453" s="1390"/>
      <c r="F453" s="1390"/>
      <c r="G453" s="1390"/>
      <c r="H453" s="1390"/>
      <c r="I453" s="1390"/>
      <c r="J453" s="1390"/>
      <c r="K453" s="1390"/>
      <c r="L453" s="1390"/>
      <c r="M453" s="1390"/>
      <c r="N453" s="1390"/>
      <c r="O453" s="1390"/>
      <c r="P453" s="1390"/>
      <c r="Q453" s="1390"/>
      <c r="R453" s="1390"/>
      <c r="S453" s="1390"/>
      <c r="T453" s="1390"/>
      <c r="U453" s="1390"/>
      <c r="V453" s="1390"/>
      <c r="W453" s="1390"/>
      <c r="X453" s="1390"/>
      <c r="Y453" s="1390"/>
      <c r="Z453" s="1390"/>
      <c r="AA453" s="1390"/>
      <c r="AB453" s="1390"/>
      <c r="AC453" s="1390"/>
      <c r="AD453" s="1390"/>
      <c r="AE453" s="1390"/>
      <c r="AF453" s="1390"/>
      <c r="AG453" s="1390"/>
      <c r="AH453" s="1390"/>
      <c r="AI453" s="1390"/>
      <c r="AJ453" s="1390"/>
    </row>
    <row r="454" spans="1:36" ht="12.95" customHeight="1">
      <c r="C454"/>
      <c r="D454" s="1401"/>
      <c r="E454" s="1401"/>
      <c r="F454" s="1401"/>
      <c r="G454" s="1401"/>
      <c r="H454" s="1401"/>
      <c r="I454" s="1401"/>
      <c r="J454" s="1401"/>
      <c r="K454" s="1401"/>
      <c r="L454" s="1401"/>
      <c r="M454" s="1401"/>
      <c r="N454" s="1401"/>
      <c r="O454" s="1401"/>
      <c r="P454" s="1401"/>
      <c r="Q454" s="1401"/>
      <c r="R454" s="1401"/>
      <c r="S454" s="1401"/>
      <c r="T454" s="1401"/>
      <c r="U454" s="1401"/>
      <c r="V454" s="1401"/>
      <c r="W454" s="1401"/>
      <c r="X454" s="1401"/>
      <c r="Y454" s="1401"/>
      <c r="Z454" s="1401"/>
      <c r="AA454" s="1401"/>
      <c r="AB454" s="1401"/>
      <c r="AC454" s="1401"/>
      <c r="AD454" s="1401"/>
      <c r="AE454" s="1401"/>
      <c r="AF454" s="1401"/>
      <c r="AG454" s="1401"/>
      <c r="AH454" s="1401"/>
      <c r="AI454" s="1401"/>
      <c r="AJ454" s="1401"/>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53">
        <f>IF(AG438=0,"",'Sources and Uses Budget'!B104/Application!AG438)</f>
        <v>606279.74</v>
      </c>
      <c r="AD455" s="1353"/>
      <c r="AE455" s="1353"/>
      <c r="AF455" s="1353"/>
      <c r="AG455" s="1343"/>
      <c r="AH455" s="1343"/>
      <c r="AI455" s="1343"/>
      <c r="AJ455" s="1343"/>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53">
        <f>IF(AG438=0,"",'Sources and Uses Budget'!C104/Application!AG438)</f>
        <v>606279.74</v>
      </c>
      <c r="AD456" s="1353"/>
      <c r="AE456" s="1353"/>
      <c r="AF456" s="1353"/>
      <c r="AG456" s="1343"/>
      <c r="AH456" s="1343"/>
      <c r="AI456" s="1343"/>
      <c r="AJ456" s="1343"/>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53">
        <f>IF(AG438=0,"",('Sources and Uses Budget'!S106+'Sources and Uses Budget'!T106)/Application!AG438)</f>
        <v>515219.7</v>
      </c>
      <c r="AD457" s="1353"/>
      <c r="AE457" s="1353"/>
      <c r="AF457" s="1353"/>
      <c r="AG457" s="359"/>
      <c r="AH457" s="359"/>
      <c r="AI457" s="359"/>
      <c r="AJ457" s="359"/>
    </row>
    <row r="458" spans="1:36" ht="12.95" customHeight="1">
      <c r="C458"/>
      <c r="D458" s="370"/>
      <c r="E458" s="305"/>
      <c r="F458" s="1141" t="str">
        <f>IF(AG438=0,"",IF(AC455&gt;650000,"Please provide a justification of cost per unit in Tab 12 for all projects with per unit costs of greater than $650,000.",""))</f>
        <v/>
      </c>
      <c r="G458" s="1141"/>
      <c r="H458" s="1141"/>
      <c r="I458" s="1141"/>
      <c r="J458" s="1141"/>
      <c r="K458" s="1141"/>
      <c r="L458" s="1141"/>
      <c r="M458" s="1141"/>
      <c r="N458" s="1141"/>
      <c r="O458" s="1141"/>
      <c r="P458" s="1141"/>
      <c r="Q458" s="1141"/>
      <c r="R458" s="1141"/>
      <c r="S458" s="1141"/>
      <c r="T458" s="1141"/>
      <c r="U458" s="1141"/>
      <c r="V458" s="1141"/>
      <c r="W458" s="1141"/>
      <c r="X458" s="1141"/>
      <c r="Y458" s="1141"/>
      <c r="Z458" s="1141"/>
      <c r="AA458" s="1141"/>
      <c r="AB458" s="1141"/>
      <c r="AC458" s="291"/>
      <c r="AD458" s="291"/>
      <c r="AE458" s="291"/>
      <c r="AF458" s="291"/>
      <c r="AG458" s="359"/>
      <c r="AH458" s="359"/>
      <c r="AI458" s="359"/>
      <c r="AJ458" s="359"/>
    </row>
    <row r="459" spans="1:36" ht="12.95" customHeight="1">
      <c r="C459"/>
      <c r="D459" s="370"/>
      <c r="E459" s="305"/>
      <c r="F459" s="1141"/>
      <c r="G459" s="1141"/>
      <c r="H459" s="1141"/>
      <c r="I459" s="1141"/>
      <c r="J459" s="1141"/>
      <c r="K459" s="1141"/>
      <c r="L459" s="1141"/>
      <c r="M459" s="1141"/>
      <c r="N459" s="1141"/>
      <c r="O459" s="1141"/>
      <c r="P459" s="1141"/>
      <c r="Q459" s="1141"/>
      <c r="R459" s="1141"/>
      <c r="S459" s="1141"/>
      <c r="T459" s="1141"/>
      <c r="U459" s="1141"/>
      <c r="V459" s="1141"/>
      <c r="W459" s="1141"/>
      <c r="X459" s="1141"/>
      <c r="Y459" s="1141"/>
      <c r="Z459" s="1141"/>
      <c r="AA459" s="1141"/>
      <c r="AB459" s="1141"/>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46" t="s">
        <v>2090</v>
      </c>
      <c r="E468" s="1147"/>
      <c r="F468" s="1147"/>
      <c r="G468" s="1147"/>
      <c r="H468" s="1147"/>
      <c r="I468" s="1147"/>
      <c r="J468" s="1147"/>
      <c r="K468" s="1147"/>
      <c r="L468" s="1147"/>
      <c r="M468" s="1147"/>
      <c r="N468" s="1147"/>
      <c r="O468" s="1147"/>
      <c r="P468" s="1147"/>
      <c r="Q468" s="1147"/>
      <c r="R468" s="1147"/>
      <c r="S468" s="1147"/>
      <c r="T468" s="1147"/>
      <c r="U468" s="1147"/>
      <c r="V468" s="1148"/>
      <c r="W468" s="1155">
        <v>0</v>
      </c>
      <c r="X468" s="1156"/>
      <c r="Y468" s="1157"/>
      <c r="Z468" s="308"/>
      <c r="AA468" s="308"/>
      <c r="AB468" s="308"/>
      <c r="AC468" s="308"/>
      <c r="AD468" s="308"/>
      <c r="AE468" s="308"/>
      <c r="AF468" s="308"/>
      <c r="AG468" s="308"/>
      <c r="AH468" s="308"/>
      <c r="AI468" s="308"/>
      <c r="AJ468" s="41"/>
      <c r="AK468" s="41"/>
      <c r="AL468" s="41"/>
    </row>
    <row r="469" spans="1:97" ht="12.95" customHeight="1">
      <c r="A469" s="41"/>
      <c r="B469" s="41"/>
      <c r="C469" s="41"/>
      <c r="D469" s="1146" t="s">
        <v>213</v>
      </c>
      <c r="E469" s="1147"/>
      <c r="F469" s="1147"/>
      <c r="G469" s="1147"/>
      <c r="H469" s="1147"/>
      <c r="I469" s="1147"/>
      <c r="J469" s="1147"/>
      <c r="K469" s="1147"/>
      <c r="L469" s="1147"/>
      <c r="M469" s="1147"/>
      <c r="N469" s="1147"/>
      <c r="O469" s="1147"/>
      <c r="P469" s="1147"/>
      <c r="Q469" s="1147"/>
      <c r="R469" s="1147"/>
      <c r="S469" s="1147"/>
      <c r="T469" s="1147"/>
      <c r="U469" s="1147"/>
      <c r="V469" s="1148"/>
      <c r="W469" s="1155">
        <v>0</v>
      </c>
      <c r="X469" s="1156"/>
      <c r="Y469" s="1157"/>
      <c r="Z469" s="308"/>
      <c r="AA469" s="308"/>
      <c r="AB469" s="308"/>
      <c r="AC469" s="308"/>
      <c r="AD469" s="308"/>
      <c r="AE469" s="308"/>
      <c r="AF469" s="308"/>
      <c r="AG469" s="308"/>
      <c r="AH469" s="308"/>
      <c r="AI469" s="308"/>
      <c r="AJ469" s="41"/>
      <c r="AK469" s="41"/>
      <c r="AL469" s="41"/>
    </row>
    <row r="470" spans="1:97" ht="12.95" customHeight="1">
      <c r="A470" s="41"/>
      <c r="B470" s="41"/>
      <c r="C470" s="41"/>
      <c r="D470" s="1146" t="s">
        <v>214</v>
      </c>
      <c r="E470" s="1147"/>
      <c r="F470" s="1147"/>
      <c r="G470" s="1147"/>
      <c r="H470" s="1147"/>
      <c r="I470" s="1147"/>
      <c r="J470" s="1147"/>
      <c r="K470" s="1147"/>
      <c r="L470" s="1147"/>
      <c r="M470" s="1147"/>
      <c r="N470" s="1147"/>
      <c r="O470" s="1147"/>
      <c r="P470" s="1147"/>
      <c r="Q470" s="1147"/>
      <c r="R470" s="1147"/>
      <c r="S470" s="1147"/>
      <c r="T470" s="1147"/>
      <c r="U470" s="1147"/>
      <c r="V470" s="1148"/>
      <c r="W470" s="1155">
        <v>0</v>
      </c>
      <c r="X470" s="1156"/>
      <c r="Y470" s="1157"/>
      <c r="Z470" s="308"/>
      <c r="AA470" s="308"/>
      <c r="AB470" s="308"/>
      <c r="AC470" s="308"/>
      <c r="AD470" s="308"/>
      <c r="AE470" s="308"/>
      <c r="AF470" s="308"/>
      <c r="AG470" s="308"/>
      <c r="AH470" s="308"/>
      <c r="AI470" s="308"/>
      <c r="AJ470" s="41"/>
      <c r="AK470" s="41"/>
      <c r="AL470" s="41"/>
    </row>
    <row r="471" spans="1:97" ht="12.95" customHeight="1">
      <c r="A471" s="41"/>
      <c r="B471" s="41"/>
      <c r="C471" s="41"/>
      <c r="D471" s="1146" t="s">
        <v>216</v>
      </c>
      <c r="E471" s="1147"/>
      <c r="F471" s="1147"/>
      <c r="G471" s="1147"/>
      <c r="H471" s="1147"/>
      <c r="I471" s="1147"/>
      <c r="J471" s="1147"/>
      <c r="K471" s="1147"/>
      <c r="L471" s="1147"/>
      <c r="M471" s="1147"/>
      <c r="N471" s="1147"/>
      <c r="O471" s="1147"/>
      <c r="P471" s="1147"/>
      <c r="Q471" s="1147"/>
      <c r="R471" s="1147"/>
      <c r="S471" s="1147"/>
      <c r="T471" s="1147"/>
      <c r="U471" s="1147"/>
      <c r="V471" s="1148"/>
      <c r="W471" s="1155">
        <v>0</v>
      </c>
      <c r="X471" s="1156"/>
      <c r="Y471" s="1157"/>
      <c r="Z471" s="308"/>
      <c r="AA471" s="308"/>
      <c r="AB471" s="308"/>
      <c r="AC471" s="308"/>
      <c r="AD471" s="308"/>
      <c r="AE471" s="308"/>
      <c r="AF471" s="308"/>
      <c r="AG471" s="308"/>
      <c r="AH471" s="308"/>
      <c r="AI471" s="308"/>
      <c r="AJ471" s="41"/>
      <c r="AK471" s="41"/>
      <c r="AL471" s="41"/>
    </row>
    <row r="472" spans="1:97" ht="12.95" customHeight="1">
      <c r="A472" s="41"/>
      <c r="B472" s="41"/>
      <c r="C472" s="41"/>
      <c r="D472" s="1349" t="s">
        <v>1109</v>
      </c>
      <c r="E472" s="1147"/>
      <c r="F472" s="1147"/>
      <c r="G472" s="1147"/>
      <c r="H472" s="1147"/>
      <c r="I472" s="1147"/>
      <c r="J472" s="1147"/>
      <c r="K472" s="1147"/>
      <c r="L472" s="1147"/>
      <c r="M472" s="1147"/>
      <c r="N472" s="1147"/>
      <c r="O472" s="1147"/>
      <c r="P472" s="1147"/>
      <c r="Q472" s="1147"/>
      <c r="R472" s="1147"/>
      <c r="S472" s="1147"/>
      <c r="T472" s="1147"/>
      <c r="U472" s="1147"/>
      <c r="V472" s="1148"/>
      <c r="W472" s="1155">
        <v>0</v>
      </c>
      <c r="X472" s="1156"/>
      <c r="Y472" s="1157"/>
      <c r="Z472" s="308"/>
      <c r="AA472" s="308"/>
      <c r="AB472" s="308"/>
      <c r="AC472" s="308"/>
      <c r="AD472" s="308"/>
      <c r="AE472" s="308"/>
      <c r="AF472" s="308"/>
      <c r="AG472" s="308"/>
      <c r="AH472" s="308"/>
      <c r="AI472" s="308"/>
      <c r="AJ472" s="41"/>
      <c r="AK472" s="41"/>
      <c r="AL472" s="41"/>
    </row>
    <row r="473" spans="1:97" ht="12.95" customHeight="1">
      <c r="A473" s="41"/>
      <c r="B473" s="41"/>
      <c r="C473" s="41"/>
      <c r="D473" s="1146" t="s">
        <v>220</v>
      </c>
      <c r="E473" s="1147"/>
      <c r="F473" s="1147"/>
      <c r="G473" s="1147"/>
      <c r="H473" s="1147"/>
      <c r="I473" s="1147"/>
      <c r="J473" s="1147"/>
      <c r="K473" s="1147"/>
      <c r="L473" s="1147"/>
      <c r="M473" s="1147"/>
      <c r="N473" s="1147"/>
      <c r="O473" s="1147"/>
      <c r="P473" s="1147"/>
      <c r="Q473" s="1147"/>
      <c r="R473" s="1147"/>
      <c r="S473" s="1147"/>
      <c r="T473" s="1147"/>
      <c r="U473" s="1147"/>
      <c r="V473" s="1148"/>
      <c r="W473" s="1155">
        <v>0</v>
      </c>
      <c r="X473" s="1156"/>
      <c r="Y473" s="1157"/>
      <c r="Z473" s="308"/>
      <c r="AA473" s="308"/>
      <c r="AB473" s="308"/>
      <c r="AC473" s="308"/>
      <c r="AD473" s="308"/>
      <c r="AE473" s="308"/>
      <c r="AF473" s="308"/>
      <c r="AG473" s="308"/>
      <c r="AH473" s="308"/>
      <c r="AI473" s="308"/>
      <c r="AJ473" s="41"/>
      <c r="AK473" s="41"/>
      <c r="AL473" s="41"/>
    </row>
    <row r="474" spans="1:97" ht="12.95" customHeight="1">
      <c r="A474" s="554"/>
      <c r="B474" s="554"/>
      <c r="C474" s="554"/>
      <c r="D474" s="1349" t="s">
        <v>1308</v>
      </c>
      <c r="E474" s="1358"/>
      <c r="F474" s="1358"/>
      <c r="G474" s="1358"/>
      <c r="H474" s="1358"/>
      <c r="I474" s="1358"/>
      <c r="J474" s="1358"/>
      <c r="K474" s="1358"/>
      <c r="L474" s="1358"/>
      <c r="M474" s="1358"/>
      <c r="N474" s="1358"/>
      <c r="O474" s="1358"/>
      <c r="P474" s="1358"/>
      <c r="Q474" s="1358"/>
      <c r="R474" s="1358"/>
      <c r="S474" s="1358"/>
      <c r="T474" s="1358"/>
      <c r="U474" s="1358"/>
      <c r="V474" s="1359"/>
      <c r="W474" s="1350">
        <v>0</v>
      </c>
      <c r="X474" s="1351"/>
      <c r="Y474" s="1352"/>
      <c r="Z474" s="555"/>
      <c r="AA474" s="555"/>
      <c r="AB474" s="555"/>
      <c r="AC474" s="555"/>
      <c r="AD474" s="556"/>
      <c r="AE474" s="556"/>
      <c r="AF474" s="556"/>
      <c r="AG474" s="556"/>
      <c r="AH474" s="556"/>
      <c r="AI474" s="556"/>
      <c r="AJ474" s="359"/>
    </row>
    <row r="475" spans="1:97" ht="12.95" customHeight="1">
      <c r="A475" s="554"/>
      <c r="B475" s="554"/>
      <c r="C475" s="554"/>
      <c r="D475" s="1146" t="s">
        <v>2264</v>
      </c>
      <c r="E475" s="1147"/>
      <c r="F475" s="1147"/>
      <c r="G475" s="1147"/>
      <c r="H475" s="1147"/>
      <c r="I475" s="1147"/>
      <c r="J475" s="1147"/>
      <c r="K475" s="1147"/>
      <c r="L475" s="1147"/>
      <c r="M475" s="1147"/>
      <c r="N475" s="1147"/>
      <c r="O475" s="1147"/>
      <c r="P475" s="1147"/>
      <c r="Q475" s="1147"/>
      <c r="R475" s="1147"/>
      <c r="S475" s="1147"/>
      <c r="T475" s="1147"/>
      <c r="U475" s="1147"/>
      <c r="V475" s="1148"/>
      <c r="W475" s="1350">
        <v>0</v>
      </c>
      <c r="X475" s="1351"/>
      <c r="Y475" s="1352"/>
      <c r="Z475" s="555"/>
      <c r="AA475" s="555"/>
      <c r="AB475" s="555"/>
      <c r="AC475" s="555"/>
      <c r="AD475" s="556"/>
      <c r="AE475" s="556"/>
      <c r="AF475" s="556"/>
      <c r="AG475" s="556"/>
      <c r="AH475" s="556"/>
      <c r="AI475" s="556"/>
      <c r="AJ475" s="359"/>
    </row>
    <row r="476" spans="1:97" ht="12.95" customHeight="1">
      <c r="A476" s="41"/>
      <c r="B476" s="41"/>
      <c r="C476" s="41"/>
      <c r="D476" s="1146" t="s">
        <v>2200</v>
      </c>
      <c r="E476" s="1358"/>
      <c r="F476" s="1358"/>
      <c r="G476" s="1358"/>
      <c r="H476" s="1358"/>
      <c r="I476" s="1358"/>
      <c r="J476" s="1358"/>
      <c r="K476" s="1358"/>
      <c r="L476" s="1358"/>
      <c r="M476" s="1358"/>
      <c r="N476" s="1358"/>
      <c r="O476" s="1358"/>
      <c r="P476" s="1358"/>
      <c r="Q476" s="1358"/>
      <c r="R476" s="1358"/>
      <c r="S476" s="1358"/>
      <c r="T476" s="1358"/>
      <c r="U476" s="1358"/>
      <c r="V476" s="1359"/>
      <c r="W476" s="1350">
        <v>0</v>
      </c>
      <c r="X476" s="1351"/>
      <c r="Y476" s="1352"/>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94"/>
      <c r="H477" s="1595"/>
      <c r="I477" s="1595"/>
      <c r="J477" s="1595"/>
      <c r="K477" s="1595"/>
      <c r="L477" s="1595"/>
      <c r="M477" s="1595"/>
      <c r="N477" s="1595"/>
      <c r="O477" s="1595"/>
      <c r="P477" s="1595"/>
      <c r="Q477" s="1595"/>
      <c r="R477" s="1595"/>
      <c r="S477" s="1595"/>
      <c r="T477" s="1595"/>
      <c r="U477" s="1595"/>
      <c r="V477" s="1596"/>
      <c r="W477" s="1155">
        <v>0</v>
      </c>
      <c r="X477" s="1156"/>
      <c r="Y477" s="1157"/>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81"/>
      <c r="E479" s="1381"/>
      <c r="F479" s="1381"/>
      <c r="G479" s="1381"/>
      <c r="H479" s="1381"/>
      <c r="I479" s="1381"/>
      <c r="J479" s="1381"/>
      <c r="K479" s="1381"/>
      <c r="L479" s="1381"/>
      <c r="M479" s="1381"/>
      <c r="N479" s="1381"/>
      <c r="O479" s="1381"/>
      <c r="P479" s="1381"/>
      <c r="Q479" s="1381"/>
      <c r="R479" s="1381"/>
      <c r="S479" s="1381"/>
      <c r="T479" s="1381"/>
      <c r="U479" s="1381"/>
      <c r="V479" s="1381"/>
      <c r="W479" s="1381"/>
      <c r="X479" s="1381"/>
      <c r="Y479" s="1381"/>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82"/>
      <c r="E480" s="1382"/>
      <c r="F480" s="1382"/>
      <c r="G480" s="1382"/>
      <c r="H480" s="1382"/>
      <c r="I480" s="1382"/>
      <c r="J480" s="1382"/>
      <c r="K480" s="1382"/>
      <c r="L480" s="1382"/>
      <c r="M480" s="1382"/>
      <c r="N480" s="1382"/>
      <c r="O480" s="1382"/>
      <c r="P480" s="1382"/>
      <c r="Q480" s="1382"/>
      <c r="R480" s="1382"/>
      <c r="S480" s="1382"/>
      <c r="T480" s="1382"/>
      <c r="U480" s="1382"/>
      <c r="V480" s="1382"/>
      <c r="W480" s="1382"/>
      <c r="X480" s="1382"/>
      <c r="Y480" s="1382"/>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82"/>
      <c r="E481" s="1382"/>
      <c r="F481" s="1382"/>
      <c r="G481" s="1382"/>
      <c r="H481" s="1382"/>
      <c r="I481" s="1382"/>
      <c r="J481" s="1382"/>
      <c r="K481" s="1382"/>
      <c r="L481" s="1382"/>
      <c r="M481" s="1382"/>
      <c r="N481" s="1382"/>
      <c r="O481" s="1382"/>
      <c r="P481" s="1382"/>
      <c r="Q481" s="1382"/>
      <c r="R481" s="1382"/>
      <c r="S481" s="1382"/>
      <c r="T481" s="1382"/>
      <c r="U481" s="1382"/>
      <c r="V481" s="1382"/>
      <c r="W481" s="1382"/>
      <c r="X481" s="1382"/>
      <c r="Y481" s="1382"/>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34" t="s">
        <v>1028</v>
      </c>
      <c r="B484" s="1134"/>
      <c r="C484" s="1134"/>
      <c r="D484" s="1134"/>
      <c r="E484" s="1134"/>
      <c r="F484" s="1134"/>
      <c r="G484" s="1134"/>
      <c r="H484" s="1134"/>
      <c r="I484" s="1134"/>
      <c r="J484" s="1134"/>
      <c r="K484" s="1134"/>
      <c r="L484" s="1134"/>
      <c r="M484" s="1134"/>
      <c r="N484" s="1134"/>
      <c r="O484" s="1134"/>
      <c r="P484" s="1134"/>
      <c r="Q484" s="1134"/>
      <c r="R484" s="1134"/>
      <c r="S484" s="1134"/>
      <c r="T484" s="1134"/>
      <c r="U484" s="1134"/>
      <c r="V484" s="1134"/>
      <c r="W484" s="1134"/>
      <c r="X484" s="1134"/>
      <c r="Y484" s="1134"/>
      <c r="Z484" s="1134"/>
      <c r="AA484" s="1134"/>
      <c r="AB484" s="1134"/>
      <c r="AC484" s="1134"/>
      <c r="AD484" s="1134"/>
      <c r="AE484" s="1134"/>
      <c r="AF484" s="1134"/>
      <c r="AG484" s="1134"/>
      <c r="AH484" s="1134"/>
      <c r="AI484" s="1134"/>
      <c r="AJ484" s="1134"/>
      <c r="AK484" s="1134"/>
      <c r="AL484" s="1134"/>
      <c r="AM484" s="1134"/>
      <c r="AN484" s="1134"/>
      <c r="AO484" s="1134"/>
      <c r="AP484" s="1134"/>
      <c r="AQ484" s="1134"/>
      <c r="AR484" s="1134"/>
      <c r="AS484" s="1134"/>
      <c r="AT484" s="1134"/>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34"/>
      <c r="B485" s="1134"/>
      <c r="C485" s="1134"/>
      <c r="D485" s="1134"/>
      <c r="E485" s="1134"/>
      <c r="F485" s="1134"/>
      <c r="G485" s="1134"/>
      <c r="H485" s="1134"/>
      <c r="I485" s="1134"/>
      <c r="J485" s="1134"/>
      <c r="K485" s="1134"/>
      <c r="L485" s="1134"/>
      <c r="M485" s="1134"/>
      <c r="N485" s="1134"/>
      <c r="O485" s="1134"/>
      <c r="P485" s="1134"/>
      <c r="Q485" s="1134"/>
      <c r="R485" s="1134"/>
      <c r="S485" s="1134"/>
      <c r="T485" s="1134"/>
      <c r="U485" s="1134"/>
      <c r="V485" s="1134"/>
      <c r="W485" s="1134"/>
      <c r="X485" s="1134"/>
      <c r="Y485" s="1134"/>
      <c r="Z485" s="1134"/>
      <c r="AA485" s="1134"/>
      <c r="AB485" s="1134"/>
      <c r="AC485" s="1134"/>
      <c r="AD485" s="1134"/>
      <c r="AE485" s="1134"/>
      <c r="AF485" s="1134"/>
      <c r="AG485" s="1134"/>
      <c r="AH485" s="1134"/>
      <c r="AI485" s="1134"/>
      <c r="AJ485" s="1134"/>
      <c r="AK485" s="1134"/>
      <c r="AL485" s="1134"/>
      <c r="AM485" s="1134"/>
      <c r="AN485" s="1134"/>
      <c r="AO485" s="1134"/>
      <c r="AP485" s="1134"/>
      <c r="AQ485" s="1134"/>
      <c r="AR485" s="1134"/>
      <c r="AS485" s="1134"/>
      <c r="AT485" s="1134"/>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98" t="s">
        <v>238</v>
      </c>
      <c r="R489" s="1399"/>
      <c r="S489" s="1399"/>
      <c r="T489" s="1399"/>
      <c r="U489" s="1399"/>
      <c r="V489" s="1399"/>
      <c r="W489" s="1399"/>
      <c r="X489" s="1399"/>
      <c r="Y489" s="1399"/>
      <c r="Z489" s="1399"/>
      <c r="AA489" s="1399"/>
      <c r="AB489" s="1399"/>
      <c r="AC489" s="1399"/>
      <c r="AD489" s="1399"/>
      <c r="AE489" s="1399"/>
      <c r="AF489" s="1399"/>
      <c r="AG489" s="1399"/>
      <c r="AH489" s="1399"/>
      <c r="AI489" s="1399"/>
      <c r="AJ489" s="1399"/>
      <c r="AK489" s="140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26" t="s">
        <v>2412</v>
      </c>
      <c r="R490" s="1065"/>
      <c r="S490" s="1065"/>
      <c r="T490" s="1065"/>
      <c r="U490" s="1065"/>
      <c r="V490" s="1065"/>
      <c r="W490" s="1065"/>
      <c r="X490" s="1065"/>
      <c r="Y490" s="1065"/>
      <c r="Z490" s="1065"/>
      <c r="AA490" s="1065"/>
      <c r="AB490" s="1065"/>
      <c r="AC490" s="1065"/>
      <c r="AD490" s="1065"/>
      <c r="AE490" s="1065"/>
      <c r="AF490" s="1065"/>
      <c r="AG490" s="1065"/>
      <c r="AH490" s="1065"/>
      <c r="AI490" s="1065"/>
      <c r="AJ490" s="1065"/>
      <c r="AK490" s="13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26" t="s">
        <v>2413</v>
      </c>
      <c r="R491" s="1065"/>
      <c r="S491" s="1065"/>
      <c r="T491" s="1065"/>
      <c r="U491" s="1065"/>
      <c r="V491" s="1065"/>
      <c r="W491" s="1065"/>
      <c r="X491" s="1065"/>
      <c r="Y491" s="1065"/>
      <c r="Z491" s="1065"/>
      <c r="AA491" s="1065"/>
      <c r="AB491" s="1065"/>
      <c r="AC491" s="1065"/>
      <c r="AD491" s="1065"/>
      <c r="AE491" s="1065"/>
      <c r="AF491" s="1065"/>
      <c r="AG491" s="1065"/>
      <c r="AH491" s="1065"/>
      <c r="AI491" s="1065"/>
      <c r="AJ491" s="1065"/>
      <c r="AK491" s="1327"/>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26" t="s">
        <v>2414</v>
      </c>
      <c r="R492" s="1065"/>
      <c r="S492" s="1065"/>
      <c r="T492" s="1065"/>
      <c r="U492" s="1065"/>
      <c r="V492" s="1065"/>
      <c r="W492" s="1065"/>
      <c r="X492" s="1065"/>
      <c r="Y492" s="1065"/>
      <c r="Z492" s="1065"/>
      <c r="AA492" s="1065"/>
      <c r="AB492" s="1065"/>
      <c r="AC492" s="1065"/>
      <c r="AD492" s="1065"/>
      <c r="AE492" s="1065"/>
      <c r="AF492" s="1065"/>
      <c r="AG492" s="1065"/>
      <c r="AH492" s="1065"/>
      <c r="AI492" s="1065"/>
      <c r="AJ492" s="1065"/>
      <c r="AK492" s="132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75" t="s">
        <v>242</v>
      </c>
      <c r="C493" s="1376"/>
      <c r="D493" s="1376"/>
      <c r="E493" s="1376"/>
      <c r="F493" s="1376"/>
      <c r="G493" s="1376"/>
      <c r="H493" s="1376"/>
      <c r="I493" s="1376"/>
      <c r="J493" s="1376"/>
      <c r="K493" s="1376"/>
      <c r="L493" s="1376"/>
      <c r="M493" s="1376"/>
      <c r="N493" s="1376"/>
      <c r="O493" s="1376"/>
      <c r="P493" s="1377"/>
      <c r="Q493" s="1331" t="s">
        <v>482</v>
      </c>
      <c r="R493" s="1332"/>
      <c r="S493" s="1335" t="s">
        <v>53</v>
      </c>
      <c r="T493" s="1336"/>
      <c r="U493" s="1336"/>
      <c r="V493" s="1336"/>
      <c r="W493" s="1336"/>
      <c r="X493" s="1336"/>
      <c r="Y493" s="1336"/>
      <c r="Z493" s="1336"/>
      <c r="AA493" s="1336"/>
      <c r="AB493" s="1336"/>
      <c r="AC493" s="1336"/>
      <c r="AD493" s="1336"/>
      <c r="AE493" s="1336"/>
      <c r="AF493" s="1336"/>
      <c r="AG493" s="1336"/>
      <c r="AH493" s="1336"/>
      <c r="AI493" s="1336"/>
      <c r="AJ493" s="1336"/>
      <c r="AK493" s="133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78"/>
      <c r="C494" s="1379"/>
      <c r="D494" s="1379"/>
      <c r="E494" s="1379"/>
      <c r="F494" s="1379"/>
      <c r="G494" s="1379"/>
      <c r="H494" s="1379"/>
      <c r="I494" s="1379"/>
      <c r="J494" s="1379"/>
      <c r="K494" s="1379"/>
      <c r="L494" s="1379"/>
      <c r="M494" s="1379"/>
      <c r="N494" s="1379"/>
      <c r="O494" s="1379"/>
      <c r="P494" s="1380"/>
      <c r="Q494" s="1333"/>
      <c r="R494" s="1334"/>
      <c r="S494" s="1338"/>
      <c r="T494" s="1339"/>
      <c r="U494" s="1339"/>
      <c r="V494" s="1339"/>
      <c r="W494" s="1339"/>
      <c r="X494" s="1339"/>
      <c r="Y494" s="1339"/>
      <c r="Z494" s="1339"/>
      <c r="AA494" s="1339"/>
      <c r="AB494" s="1339"/>
      <c r="AC494" s="1339"/>
      <c r="AD494" s="1339"/>
      <c r="AE494" s="1339"/>
      <c r="AF494" s="1339"/>
      <c r="AG494" s="1339"/>
      <c r="AH494" s="1339"/>
      <c r="AI494" s="1339"/>
      <c r="AJ494" s="1339"/>
      <c r="AK494" s="134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372"/>
      <c r="R495" s="1373"/>
      <c r="S495" s="1373"/>
      <c r="T495" s="1373"/>
      <c r="U495" s="1373"/>
      <c r="V495" s="1373"/>
      <c r="W495" s="1373"/>
      <c r="X495" s="1373"/>
      <c r="Y495" s="1373"/>
      <c r="Z495" s="1373"/>
      <c r="AA495" s="1373"/>
      <c r="AB495" s="1373"/>
      <c r="AC495" s="1373"/>
      <c r="AD495" s="1373"/>
      <c r="AE495" s="1373"/>
      <c r="AF495" s="1373"/>
      <c r="AG495" s="1373"/>
      <c r="AH495" s="1373"/>
      <c r="AI495" s="1373"/>
      <c r="AJ495" s="1373"/>
      <c r="AK495" s="137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26">
        <v>0</v>
      </c>
      <c r="R496" s="1065"/>
      <c r="S496" s="1065"/>
      <c r="T496" s="1065"/>
      <c r="U496" s="1065"/>
      <c r="V496" s="1065"/>
      <c r="W496" s="1065"/>
      <c r="X496" s="1065"/>
      <c r="Y496" s="1065"/>
      <c r="Z496" s="1065"/>
      <c r="AA496" s="1065"/>
      <c r="AB496" s="1065"/>
      <c r="AC496" s="1065"/>
      <c r="AD496" s="1065"/>
      <c r="AE496" s="1065"/>
      <c r="AF496" s="1065"/>
      <c r="AG496" s="1065"/>
      <c r="AH496" s="1065"/>
      <c r="AI496" s="1065"/>
      <c r="AJ496" s="1065"/>
      <c r="AK496" s="132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26">
        <v>87</v>
      </c>
      <c r="R497" s="1065"/>
      <c r="S497" s="1065"/>
      <c r="T497" s="1065"/>
      <c r="U497" s="1065"/>
      <c r="V497" s="1065"/>
      <c r="W497" s="1065"/>
      <c r="X497" s="1065"/>
      <c r="Y497" s="1065"/>
      <c r="Z497" s="1065"/>
      <c r="AA497" s="1065"/>
      <c r="AB497" s="1065"/>
      <c r="AC497" s="1065"/>
      <c r="AD497" s="1065"/>
      <c r="AE497" s="1065"/>
      <c r="AF497" s="1065"/>
      <c r="AG497" s="1065"/>
      <c r="AH497" s="1065"/>
      <c r="AI497" s="1065"/>
      <c r="AJ497" s="1065"/>
      <c r="AK497" s="132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326">
        <v>113</v>
      </c>
      <c r="R498" s="1065"/>
      <c r="S498" s="1065"/>
      <c r="T498" s="1065"/>
      <c r="U498" s="1065"/>
      <c r="V498" s="1065"/>
      <c r="W498" s="1065"/>
      <c r="X498" s="1065"/>
      <c r="Y498" s="1065"/>
      <c r="Z498" s="1065"/>
      <c r="AA498" s="1065"/>
      <c r="AB498" s="1065"/>
      <c r="AC498" s="1065"/>
      <c r="AD498" s="1065"/>
      <c r="AE498" s="1065"/>
      <c r="AF498" s="1065"/>
      <c r="AG498" s="1065"/>
      <c r="AH498" s="1065"/>
      <c r="AI498" s="1065"/>
      <c r="AJ498" s="1065"/>
      <c r="AK498" s="132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360">
        <v>67</v>
      </c>
      <c r="N499" s="1361"/>
      <c r="O499" s="1361"/>
      <c r="P499" s="1362"/>
      <c r="Q499" s="212" t="s">
        <v>1972</v>
      </c>
      <c r="R499" s="9"/>
      <c r="S499" s="9"/>
      <c r="T499" s="9"/>
      <c r="U499" s="9"/>
      <c r="V499" s="9"/>
      <c r="W499" s="9"/>
      <c r="X499" s="9"/>
      <c r="Y499" s="9"/>
      <c r="Z499" s="9"/>
      <c r="AA499" s="9"/>
      <c r="AB499" s="9"/>
      <c r="AC499" s="9"/>
      <c r="AD499" s="9"/>
      <c r="AE499" s="9"/>
      <c r="AF499" s="9"/>
      <c r="AG499" s="9"/>
      <c r="AH499" s="1360">
        <v>46</v>
      </c>
      <c r="AI499" s="1361"/>
      <c r="AJ499" s="1361"/>
      <c r="AK499" s="136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98" t="s">
        <v>246</v>
      </c>
      <c r="AD503" s="1399"/>
      <c r="AE503" s="1399"/>
      <c r="AF503" s="1399"/>
      <c r="AG503" s="1399"/>
      <c r="AH503" s="1399"/>
      <c r="AI503" s="1399"/>
      <c r="AJ503" s="1399"/>
      <c r="AK503" s="140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98" t="s">
        <v>247</v>
      </c>
      <c r="AD504" s="1399"/>
      <c r="AE504" s="1399"/>
      <c r="AF504" s="1399"/>
      <c r="AG504" s="56" t="s">
        <v>248</v>
      </c>
      <c r="AH504" s="1399" t="s">
        <v>249</v>
      </c>
      <c r="AI504" s="1399"/>
      <c r="AJ504" s="1399"/>
      <c r="AK504" s="140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63" t="s">
        <v>250</v>
      </c>
      <c r="C505" s="1364"/>
      <c r="D505" s="1364"/>
      <c r="E505" s="1364"/>
      <c r="F505" s="1364"/>
      <c r="G505" s="1364"/>
      <c r="H505" s="1365"/>
      <c r="I505" s="7" t="s">
        <v>671</v>
      </c>
      <c r="J505" s="7"/>
      <c r="K505" s="7"/>
      <c r="L505" s="7"/>
      <c r="M505" s="7"/>
      <c r="N505" s="7"/>
      <c r="O505" s="7"/>
      <c r="P505" s="7"/>
      <c r="Q505" s="7"/>
      <c r="R505" s="7"/>
      <c r="S505" s="7"/>
      <c r="T505" s="7"/>
      <c r="U505" s="7"/>
      <c r="V505" s="7"/>
      <c r="W505" s="7"/>
      <c r="AC505" s="1342" t="s">
        <v>124</v>
      </c>
      <c r="AD505" s="1152"/>
      <c r="AE505" s="1152"/>
      <c r="AF505" s="1152"/>
      <c r="AG505" s="18" t="s">
        <v>248</v>
      </c>
      <c r="AH505" s="1122">
        <v>0</v>
      </c>
      <c r="AI505" s="1122"/>
      <c r="AJ505" s="1122"/>
      <c r="AK505" s="112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66"/>
      <c r="C506" s="1367"/>
      <c r="D506" s="1367"/>
      <c r="E506" s="1367"/>
      <c r="F506" s="1367"/>
      <c r="G506" s="1367"/>
      <c r="H506" s="1368"/>
      <c r="I506" s="54" t="s">
        <v>672</v>
      </c>
      <c r="J506" s="54"/>
      <c r="K506" s="54"/>
      <c r="L506" s="54"/>
      <c r="M506" s="54"/>
      <c r="N506" s="54"/>
      <c r="O506" s="54"/>
      <c r="P506" s="54"/>
      <c r="Q506" s="54"/>
      <c r="R506" s="54"/>
      <c r="S506" s="54"/>
      <c r="T506" s="54"/>
      <c r="U506" s="54"/>
      <c r="V506" s="54"/>
      <c r="W506" s="54"/>
      <c r="X506" s="54"/>
      <c r="Y506" s="54"/>
      <c r="Z506" s="54"/>
      <c r="AA506" s="54"/>
      <c r="AB506" s="54"/>
      <c r="AC506" s="1342">
        <v>6</v>
      </c>
      <c r="AD506" s="1152"/>
      <c r="AE506" s="1152"/>
      <c r="AF506" s="1152"/>
      <c r="AG506" s="47" t="s">
        <v>248</v>
      </c>
      <c r="AH506" s="1122">
        <v>2020</v>
      </c>
      <c r="AI506" s="1122"/>
      <c r="AJ506" s="1122"/>
      <c r="AK506" s="112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63" t="s">
        <v>673</v>
      </c>
      <c r="C507" s="1364"/>
      <c r="D507" s="1364"/>
      <c r="E507" s="1364"/>
      <c r="F507" s="1364"/>
      <c r="G507" s="1364"/>
      <c r="H507" s="1365"/>
      <c r="I507" s="7" t="s">
        <v>674</v>
      </c>
      <c r="J507" s="7"/>
      <c r="K507" s="7"/>
      <c r="L507" s="7"/>
      <c r="M507" s="7"/>
      <c r="N507" s="7"/>
      <c r="O507" s="7"/>
      <c r="P507" s="7"/>
      <c r="Q507" s="7"/>
      <c r="R507" s="7"/>
      <c r="S507" s="7"/>
      <c r="T507" s="7"/>
      <c r="U507" s="7"/>
      <c r="V507" s="7"/>
      <c r="W507" s="7"/>
      <c r="AC507" s="1342" t="s">
        <v>124</v>
      </c>
      <c r="AD507" s="1152"/>
      <c r="AE507" s="1152"/>
      <c r="AF507" s="1152"/>
      <c r="AG507" s="18" t="s">
        <v>248</v>
      </c>
      <c r="AH507" s="1122"/>
      <c r="AI507" s="1122"/>
      <c r="AJ507" s="1122"/>
      <c r="AK507" s="112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66"/>
      <c r="C508" s="1367"/>
      <c r="D508" s="1367"/>
      <c r="E508" s="1367"/>
      <c r="F508" s="1367"/>
      <c r="G508" s="1367"/>
      <c r="H508" s="1368"/>
      <c r="I508" t="s">
        <v>675</v>
      </c>
      <c r="AC508" s="1342" t="s">
        <v>124</v>
      </c>
      <c r="AD508" s="1152"/>
      <c r="AE508" s="1152"/>
      <c r="AF508" s="1152"/>
      <c r="AG508" s="18" t="s">
        <v>248</v>
      </c>
      <c r="AH508" s="1122"/>
      <c r="AI508" s="1122"/>
      <c r="AJ508" s="1122"/>
      <c r="AK508" s="112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66"/>
      <c r="C509" s="1367"/>
      <c r="D509" s="1367"/>
      <c r="E509" s="1367"/>
      <c r="F509" s="1367"/>
      <c r="G509" s="1367"/>
      <c r="H509" s="1368"/>
      <c r="I509" t="s">
        <v>676</v>
      </c>
      <c r="AC509" s="1342" t="s">
        <v>124</v>
      </c>
      <c r="AD509" s="1152"/>
      <c r="AE509" s="1152"/>
      <c r="AF509" s="1152"/>
      <c r="AG509" s="18" t="s">
        <v>248</v>
      </c>
      <c r="AH509" s="1122"/>
      <c r="AI509" s="1122"/>
      <c r="AJ509" s="1122"/>
      <c r="AK509" s="112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66"/>
      <c r="C510" s="1367"/>
      <c r="D510" s="1367"/>
      <c r="E510" s="1367"/>
      <c r="F510" s="1367"/>
      <c r="G510" s="1367"/>
      <c r="H510" s="1368"/>
      <c r="I510" t="s">
        <v>677</v>
      </c>
      <c r="AC510" s="1342">
        <v>3</v>
      </c>
      <c r="AD510" s="1152"/>
      <c r="AE510" s="1152"/>
      <c r="AF510" s="1152"/>
      <c r="AG510" s="18" t="s">
        <v>248</v>
      </c>
      <c r="AH510" s="1122">
        <v>2026</v>
      </c>
      <c r="AI510" s="1122"/>
      <c r="AJ510" s="1122"/>
      <c r="AK510" s="112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66"/>
      <c r="C511" s="1367"/>
      <c r="D511" s="1367"/>
      <c r="E511" s="1367"/>
      <c r="F511" s="1367"/>
      <c r="G511" s="1367"/>
      <c r="H511" s="1368"/>
      <c r="I511" s="41" t="s">
        <v>678</v>
      </c>
      <c r="AC511" s="1396">
        <v>3</v>
      </c>
      <c r="AD511" s="1397"/>
      <c r="AE511" s="1397"/>
      <c r="AF511" s="1397"/>
      <c r="AG511" s="18" t="s">
        <v>248</v>
      </c>
      <c r="AH511" s="1122">
        <v>2026</v>
      </c>
      <c r="AI511" s="1122"/>
      <c r="AJ511" s="1122"/>
      <c r="AK511" s="112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66"/>
      <c r="C512" s="1367"/>
      <c r="D512" s="1367"/>
      <c r="E512" s="1367"/>
      <c r="F512" s="1367"/>
      <c r="G512" s="1367"/>
      <c r="H512" s="1368"/>
      <c r="I512" s="407" t="s">
        <v>283</v>
      </c>
      <c r="J512" s="54"/>
      <c r="K512" s="54"/>
      <c r="L512" s="1341" t="s">
        <v>562</v>
      </c>
      <c r="M512" s="1323"/>
      <c r="N512" s="1323"/>
      <c r="O512" s="1323"/>
      <c r="P512" s="1323"/>
      <c r="Q512" s="1323"/>
      <c r="R512" s="1323"/>
      <c r="S512" s="1323"/>
      <c r="T512" s="1323"/>
      <c r="U512" s="1323"/>
      <c r="V512" s="1323"/>
      <c r="W512" s="1323"/>
      <c r="X512" s="1323"/>
      <c r="Y512" s="1323"/>
      <c r="Z512" s="1323"/>
      <c r="AA512" s="1323"/>
      <c r="AB512" s="1593"/>
      <c r="AC512" s="1405" t="s">
        <v>124</v>
      </c>
      <c r="AD512" s="1406"/>
      <c r="AE512" s="1406"/>
      <c r="AF512" s="1406"/>
      <c r="AG512" s="47" t="s">
        <v>248</v>
      </c>
      <c r="AH512" s="1122"/>
      <c r="AI512" s="1122"/>
      <c r="AJ512" s="1122"/>
      <c r="AK512" s="112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66"/>
      <c r="C513" s="1367"/>
      <c r="D513" s="1367"/>
      <c r="E513" s="1367"/>
      <c r="F513" s="1367"/>
      <c r="G513" s="1367"/>
      <c r="H513" s="1368"/>
      <c r="I513" s="41" t="s">
        <v>1973</v>
      </c>
      <c r="AC513" s="1610" t="s">
        <v>482</v>
      </c>
      <c r="AD513" s="1610"/>
      <c r="AE513" s="1610"/>
      <c r="AF513" s="1610"/>
      <c r="AG513" s="18"/>
      <c r="AH513" s="1608"/>
      <c r="AI513" s="1608"/>
      <c r="AJ513" s="1608"/>
      <c r="AK513" s="160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66"/>
      <c r="C514" s="1367"/>
      <c r="D514" s="1367"/>
      <c r="E514" s="1367"/>
      <c r="F514" s="1367"/>
      <c r="G514" s="1367"/>
      <c r="H514" s="1368"/>
      <c r="I514" t="s">
        <v>1974</v>
      </c>
      <c r="AC514" s="1396"/>
      <c r="AD514" s="1397"/>
      <c r="AE514" s="1397"/>
      <c r="AF514" s="1424"/>
      <c r="AG514" s="18"/>
      <c r="AH514" s="1608"/>
      <c r="AI514" s="1608"/>
      <c r="AJ514" s="1608"/>
      <c r="AK514" s="160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66"/>
      <c r="C515" s="1367"/>
      <c r="D515" s="1367"/>
      <c r="E515" s="1367"/>
      <c r="F515" s="1367"/>
      <c r="G515" s="1367"/>
      <c r="H515" s="1368"/>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66"/>
      <c r="C516" s="1367"/>
      <c r="D516" s="1367"/>
      <c r="E516" s="1367"/>
      <c r="F516" s="1367"/>
      <c r="G516" s="1367"/>
      <c r="H516" s="1368"/>
      <c r="I516" s="835" t="s">
        <v>1976</v>
      </c>
      <c r="J516" s="54"/>
      <c r="K516" s="54"/>
      <c r="L516" s="54"/>
      <c r="M516" s="54"/>
      <c r="N516" s="54"/>
      <c r="O516" s="54"/>
      <c r="P516" s="54"/>
      <c r="Q516" s="54"/>
      <c r="R516" s="54"/>
      <c r="S516" s="54"/>
      <c r="T516" s="54"/>
      <c r="U516" s="54"/>
      <c r="V516" s="54"/>
      <c r="W516" s="54"/>
      <c r="X516" s="54"/>
      <c r="Y516" s="54"/>
      <c r="Z516" s="54"/>
      <c r="AA516" s="54"/>
      <c r="AB516" s="54"/>
      <c r="AC516" s="1393">
        <v>0.5</v>
      </c>
      <c r="AD516" s="1394"/>
      <c r="AE516" s="1394"/>
      <c r="AF516" s="1395"/>
      <c r="AG516" s="47"/>
      <c r="AH516" s="1523"/>
      <c r="AI516" s="1523"/>
      <c r="AJ516" s="1523"/>
      <c r="AK516" s="152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63" t="s">
        <v>679</v>
      </c>
      <c r="C517" s="1364"/>
      <c r="D517" s="1364"/>
      <c r="E517" s="1364"/>
      <c r="F517" s="1364"/>
      <c r="G517" s="1364"/>
      <c r="H517" s="1365"/>
      <c r="I517" s="7" t="s">
        <v>680</v>
      </c>
      <c r="J517" s="7"/>
      <c r="K517" s="7"/>
      <c r="L517" s="7"/>
      <c r="M517" s="7"/>
      <c r="N517" s="7"/>
      <c r="O517" s="7"/>
      <c r="P517" s="7"/>
      <c r="Q517" s="7"/>
      <c r="R517" s="7"/>
      <c r="S517" s="7"/>
      <c r="T517" s="7"/>
      <c r="U517" s="7"/>
      <c r="V517" s="7"/>
      <c r="W517" s="7"/>
      <c r="AC517" s="1342">
        <v>6</v>
      </c>
      <c r="AD517" s="1152"/>
      <c r="AE517" s="1152"/>
      <c r="AF517" s="1152"/>
      <c r="AG517" s="18" t="s">
        <v>248</v>
      </c>
      <c r="AH517" s="1122">
        <v>2025</v>
      </c>
      <c r="AI517" s="1122"/>
      <c r="AJ517" s="1122"/>
      <c r="AK517" s="112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66"/>
      <c r="C518" s="1367"/>
      <c r="D518" s="1367"/>
      <c r="E518" s="1367"/>
      <c r="F518" s="1367"/>
      <c r="G518" s="1367"/>
      <c r="H518" s="1368"/>
      <c r="I518" t="s">
        <v>681</v>
      </c>
      <c r="AC518" s="1342">
        <v>6</v>
      </c>
      <c r="AD518" s="1152"/>
      <c r="AE518" s="1152"/>
      <c r="AF518" s="1152"/>
      <c r="AG518" s="18" t="s">
        <v>248</v>
      </c>
      <c r="AH518" s="1122">
        <v>2025</v>
      </c>
      <c r="AI518" s="1122"/>
      <c r="AJ518" s="1122"/>
      <c r="AK518" s="112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66"/>
      <c r="C519" s="1367"/>
      <c r="D519" s="1367"/>
      <c r="E519" s="1367"/>
      <c r="F519" s="1367"/>
      <c r="G519" s="1367"/>
      <c r="H519" s="1368"/>
      <c r="I519" s="54" t="s">
        <v>682</v>
      </c>
      <c r="J519" s="54"/>
      <c r="K519" s="54"/>
      <c r="L519" s="54"/>
      <c r="M519" s="54"/>
      <c r="N519" s="54"/>
      <c r="O519" s="54"/>
      <c r="P519" s="54"/>
      <c r="Q519" s="54"/>
      <c r="R519" s="54"/>
      <c r="S519" s="54"/>
      <c r="T519" s="54"/>
      <c r="U519" s="54"/>
      <c r="V519" s="54"/>
      <c r="W519" s="54"/>
      <c r="X519" s="54"/>
      <c r="Y519" s="54"/>
      <c r="Z519" s="54"/>
      <c r="AA519" s="54"/>
      <c r="AB519" s="54"/>
      <c r="AC519" s="1342">
        <v>3</v>
      </c>
      <c r="AD519" s="1152"/>
      <c r="AE519" s="1152"/>
      <c r="AF519" s="1152"/>
      <c r="AG519" s="47" t="s">
        <v>248</v>
      </c>
      <c r="AH519" s="1122">
        <v>2026</v>
      </c>
      <c r="AI519" s="1122"/>
      <c r="AJ519" s="1122"/>
      <c r="AK519" s="112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63" t="s">
        <v>683</v>
      </c>
      <c r="C520" s="1364"/>
      <c r="D520" s="1364"/>
      <c r="E520" s="1364"/>
      <c r="F520" s="1364"/>
      <c r="G520" s="1364"/>
      <c r="H520" s="1365"/>
      <c r="I520" s="7" t="s">
        <v>680</v>
      </c>
      <c r="J520" s="7"/>
      <c r="K520" s="7"/>
      <c r="L520" s="7"/>
      <c r="M520" s="7"/>
      <c r="N520" s="7"/>
      <c r="O520" s="7"/>
      <c r="P520" s="7"/>
      <c r="Q520" s="7"/>
      <c r="R520" s="7"/>
      <c r="S520" s="7"/>
      <c r="T520" s="7"/>
      <c r="U520" s="7"/>
      <c r="V520" s="7"/>
      <c r="W520" s="7"/>
      <c r="X520" s="7"/>
      <c r="Y520" s="7"/>
      <c r="Z520" s="7"/>
      <c r="AA520" s="7"/>
      <c r="AB520" s="7"/>
      <c r="AC520" s="1172">
        <v>6</v>
      </c>
      <c r="AD520" s="1173"/>
      <c r="AE520" s="1173"/>
      <c r="AF520" s="1173"/>
      <c r="AG520" s="228" t="s">
        <v>248</v>
      </c>
      <c r="AH520" s="1122">
        <v>2025</v>
      </c>
      <c r="AI520" s="1122"/>
      <c r="AJ520" s="1122"/>
      <c r="AK520" s="112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66"/>
      <c r="C521" s="1367"/>
      <c r="D521" s="1367"/>
      <c r="E521" s="1367"/>
      <c r="F521" s="1367"/>
      <c r="G521" s="1367"/>
      <c r="H521" s="1368"/>
      <c r="I521" t="s">
        <v>681</v>
      </c>
      <c r="AC521" s="1342">
        <v>6</v>
      </c>
      <c r="AD521" s="1152"/>
      <c r="AE521" s="1152"/>
      <c r="AF521" s="1152"/>
      <c r="AG521" s="18" t="s">
        <v>248</v>
      </c>
      <c r="AH521" s="1122">
        <v>2025</v>
      </c>
      <c r="AI521" s="1122"/>
      <c r="AJ521" s="1122"/>
      <c r="AK521" s="112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9"/>
      <c r="C522" s="1370"/>
      <c r="D522" s="1370"/>
      <c r="E522" s="1370"/>
      <c r="F522" s="1370"/>
      <c r="G522" s="1370"/>
      <c r="H522" s="1371"/>
      <c r="I522" s="54" t="s">
        <v>682</v>
      </c>
      <c r="J522" s="54"/>
      <c r="K522" s="54"/>
      <c r="L522" s="54"/>
      <c r="M522" s="54"/>
      <c r="N522" s="54"/>
      <c r="O522" s="54"/>
      <c r="P522" s="54"/>
      <c r="Q522" s="54"/>
      <c r="R522" s="54"/>
      <c r="S522" s="54"/>
      <c r="T522" s="54"/>
      <c r="U522" s="54"/>
      <c r="V522" s="54"/>
      <c r="W522" s="54"/>
      <c r="X522" s="54"/>
      <c r="Y522" s="54"/>
      <c r="Z522" s="54"/>
      <c r="AA522" s="54"/>
      <c r="AB522" s="54"/>
      <c r="AC522" s="1342">
        <v>3</v>
      </c>
      <c r="AD522" s="1152"/>
      <c r="AE522" s="1152"/>
      <c r="AF522" s="1152"/>
      <c r="AG522" s="47" t="s">
        <v>248</v>
      </c>
      <c r="AH522" s="1122">
        <v>2026</v>
      </c>
      <c r="AI522" s="1122"/>
      <c r="AJ522" s="1122"/>
      <c r="AK522" s="112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63" t="s">
        <v>684</v>
      </c>
      <c r="C523" s="1364"/>
      <c r="D523" s="1364"/>
      <c r="E523" s="1364"/>
      <c r="F523" s="1364"/>
      <c r="G523" s="1364"/>
      <c r="H523" s="1365"/>
      <c r="I523" s="6" t="s">
        <v>685</v>
      </c>
      <c r="J523" s="7"/>
      <c r="K523" s="7"/>
      <c r="L523" s="7"/>
      <c r="M523" s="7"/>
      <c r="N523" s="7"/>
      <c r="O523" s="1341" t="s">
        <v>2446</v>
      </c>
      <c r="P523" s="1323"/>
      <c r="Q523" s="1323"/>
      <c r="R523" s="1323"/>
      <c r="S523" s="1323"/>
      <c r="T523" s="1323"/>
      <c r="U523" s="1323"/>
      <c r="V523" s="1323"/>
      <c r="W523" s="1323"/>
      <c r="X523" s="1323"/>
      <c r="Y523" s="1323"/>
      <c r="Z523" s="1323"/>
      <c r="AA523" s="1323"/>
      <c r="AB523" s="64"/>
      <c r="AC523" s="1172" t="s">
        <v>124</v>
      </c>
      <c r="AD523" s="1173"/>
      <c r="AE523" s="1173"/>
      <c r="AF523" s="1173"/>
      <c r="AG523" s="228" t="s">
        <v>248</v>
      </c>
      <c r="AH523" s="1122"/>
      <c r="AI523" s="1122"/>
      <c r="AJ523" s="1122"/>
      <c r="AK523" s="112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66"/>
      <c r="C524" s="1367"/>
      <c r="D524" s="1367"/>
      <c r="E524" s="1367"/>
      <c r="F524" s="1367"/>
      <c r="G524" s="1367"/>
      <c r="H524" s="1368"/>
      <c r="I524" s="202" t="s">
        <v>686</v>
      </c>
      <c r="AB524" s="71"/>
      <c r="AC524" s="1342">
        <v>10</v>
      </c>
      <c r="AD524" s="1152"/>
      <c r="AE524" s="1152"/>
      <c r="AF524" s="1152"/>
      <c r="AG524" s="18" t="s">
        <v>248</v>
      </c>
      <c r="AH524" s="1122">
        <v>2022</v>
      </c>
      <c r="AI524" s="1122"/>
      <c r="AJ524" s="1122"/>
      <c r="AK524" s="112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66"/>
      <c r="C525" s="1367"/>
      <c r="D525" s="1367"/>
      <c r="E525" s="1367"/>
      <c r="F525" s="1367"/>
      <c r="G525" s="1367"/>
      <c r="H525" s="1368"/>
      <c r="I525" s="53" t="s">
        <v>687</v>
      </c>
      <c r="J525" s="54"/>
      <c r="K525" s="54"/>
      <c r="L525" s="54"/>
      <c r="M525" s="54"/>
      <c r="N525" s="54"/>
      <c r="O525" s="54"/>
      <c r="P525" s="54"/>
      <c r="Q525" s="54"/>
      <c r="R525" s="54"/>
      <c r="S525" s="54"/>
      <c r="T525" s="54"/>
      <c r="U525" s="54"/>
      <c r="V525" s="54"/>
      <c r="W525" s="54"/>
      <c r="X525" s="54"/>
      <c r="Y525" s="54"/>
      <c r="Z525" s="54"/>
      <c r="AA525" s="54"/>
      <c r="AB525" s="55"/>
      <c r="AC525" s="1342">
        <v>2</v>
      </c>
      <c r="AD525" s="1152"/>
      <c r="AE525" s="1152"/>
      <c r="AF525" s="1152"/>
      <c r="AG525" s="47" t="s">
        <v>248</v>
      </c>
      <c r="AH525" s="1122">
        <v>2023</v>
      </c>
      <c r="AI525" s="1122"/>
      <c r="AJ525" s="1122"/>
      <c r="AK525" s="1123"/>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66"/>
      <c r="C526" s="1367"/>
      <c r="D526" s="1367"/>
      <c r="E526" s="1367"/>
      <c r="F526" s="1367"/>
      <c r="G526" s="1367"/>
      <c r="H526" s="1368"/>
      <c r="I526" s="7" t="s">
        <v>688</v>
      </c>
      <c r="J526" s="7"/>
      <c r="K526" s="7"/>
      <c r="L526" s="7"/>
      <c r="M526" s="7"/>
      <c r="N526" s="7"/>
      <c r="O526" s="1341" t="s">
        <v>2334</v>
      </c>
      <c r="P526" s="1323"/>
      <c r="Q526" s="1323"/>
      <c r="R526" s="1323"/>
      <c r="S526" s="1323"/>
      <c r="T526" s="1323"/>
      <c r="U526" s="1323"/>
      <c r="V526" s="1323"/>
      <c r="W526" s="1323"/>
      <c r="X526" s="1323"/>
      <c r="Y526" s="1323"/>
      <c r="Z526" s="1323"/>
      <c r="AA526" s="1323"/>
      <c r="AC526" s="1342" t="s">
        <v>124</v>
      </c>
      <c r="AD526" s="1152"/>
      <c r="AE526" s="1152"/>
      <c r="AF526" s="1152"/>
      <c r="AG526" s="18" t="s">
        <v>248</v>
      </c>
      <c r="AH526" s="1122"/>
      <c r="AI526" s="1122"/>
      <c r="AJ526" s="1122"/>
      <c r="AK526" s="1123"/>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66"/>
      <c r="C527" s="1367"/>
      <c r="D527" s="1367"/>
      <c r="E527" s="1367"/>
      <c r="F527" s="1367"/>
      <c r="G527" s="1367"/>
      <c r="H527" s="1368"/>
      <c r="I527" t="s">
        <v>686</v>
      </c>
      <c r="AC527" s="1342">
        <v>7</v>
      </c>
      <c r="AD527" s="1152"/>
      <c r="AE527" s="1152"/>
      <c r="AF527" s="1152"/>
      <c r="AG527" s="18" t="s">
        <v>248</v>
      </c>
      <c r="AH527" s="1122">
        <v>2024</v>
      </c>
      <c r="AI527" s="1122"/>
      <c r="AJ527" s="1122"/>
      <c r="AK527" s="1123"/>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66"/>
      <c r="C528" s="1367"/>
      <c r="D528" s="1367"/>
      <c r="E528" s="1367"/>
      <c r="F528" s="1367"/>
      <c r="G528" s="1367"/>
      <c r="H528" s="1368"/>
      <c r="I528" s="54" t="s">
        <v>687</v>
      </c>
      <c r="J528" s="54"/>
      <c r="K528" s="54"/>
      <c r="L528" s="54"/>
      <c r="M528" s="54"/>
      <c r="N528" s="54"/>
      <c r="O528" s="54"/>
      <c r="P528" s="54"/>
      <c r="Q528" s="54"/>
      <c r="R528" s="54"/>
      <c r="S528" s="54"/>
      <c r="T528" s="54"/>
      <c r="U528" s="54"/>
      <c r="V528" s="54"/>
      <c r="W528" s="54"/>
      <c r="X528" s="54"/>
      <c r="Y528" s="54"/>
      <c r="Z528" s="54"/>
      <c r="AA528" s="54"/>
      <c r="AB528" s="54"/>
      <c r="AC528" s="1342">
        <v>10</v>
      </c>
      <c r="AD528" s="1152"/>
      <c r="AE528" s="1152"/>
      <c r="AF528" s="1152"/>
      <c r="AG528" s="47" t="s">
        <v>248</v>
      </c>
      <c r="AH528" s="1122">
        <v>2024</v>
      </c>
      <c r="AI528" s="1122"/>
      <c r="AJ528" s="1122"/>
      <c r="AK528" s="1123"/>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66"/>
      <c r="C529" s="1367"/>
      <c r="D529" s="1367"/>
      <c r="E529" s="1367"/>
      <c r="F529" s="1367"/>
      <c r="G529" s="1367"/>
      <c r="H529" s="1368"/>
      <c r="I529" s="7" t="s">
        <v>688</v>
      </c>
      <c r="J529" s="7"/>
      <c r="K529" s="7"/>
      <c r="L529" s="7"/>
      <c r="M529" s="7"/>
      <c r="N529" s="7"/>
      <c r="O529" s="1341" t="s">
        <v>562</v>
      </c>
      <c r="P529" s="1323"/>
      <c r="Q529" s="1323"/>
      <c r="R529" s="1323"/>
      <c r="S529" s="1323"/>
      <c r="T529" s="1323"/>
      <c r="U529" s="1323"/>
      <c r="V529" s="1323"/>
      <c r="W529" s="1323"/>
      <c r="X529" s="1323"/>
      <c r="Y529" s="1323"/>
      <c r="Z529" s="1323"/>
      <c r="AA529" s="1323"/>
      <c r="AC529" s="1342" t="s">
        <v>124</v>
      </c>
      <c r="AD529" s="1152"/>
      <c r="AE529" s="1152"/>
      <c r="AF529" s="1152"/>
      <c r="AG529" s="18" t="s">
        <v>248</v>
      </c>
      <c r="AH529" s="1122"/>
      <c r="AI529" s="1122"/>
      <c r="AJ529" s="1122"/>
      <c r="AK529" s="1123"/>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66"/>
      <c r="C530" s="1367"/>
      <c r="D530" s="1367"/>
      <c r="E530" s="1367"/>
      <c r="F530" s="1367"/>
      <c r="G530" s="1367"/>
      <c r="H530" s="1368"/>
      <c r="I530" t="s">
        <v>686</v>
      </c>
      <c r="AC530" s="1342" t="s">
        <v>124</v>
      </c>
      <c r="AD530" s="1152"/>
      <c r="AE530" s="1152"/>
      <c r="AF530" s="1152"/>
      <c r="AG530" s="18" t="s">
        <v>248</v>
      </c>
      <c r="AH530" s="1122"/>
      <c r="AI530" s="1122"/>
      <c r="AJ530" s="1122"/>
      <c r="AK530" s="1123"/>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66"/>
      <c r="C531" s="1367"/>
      <c r="D531" s="1367"/>
      <c r="E531" s="1367"/>
      <c r="F531" s="1367"/>
      <c r="G531" s="1367"/>
      <c r="H531" s="1368"/>
      <c r="I531" s="54" t="s">
        <v>687</v>
      </c>
      <c r="J531" s="54"/>
      <c r="K531" s="54"/>
      <c r="L531" s="54"/>
      <c r="M531" s="54"/>
      <c r="N531" s="54"/>
      <c r="O531" s="54"/>
      <c r="P531" s="54"/>
      <c r="Q531" s="54"/>
      <c r="R531" s="54"/>
      <c r="S531" s="54"/>
      <c r="T531" s="54"/>
      <c r="U531" s="54"/>
      <c r="V531" s="54"/>
      <c r="W531" s="54"/>
      <c r="X531" s="54"/>
      <c r="Y531" s="54"/>
      <c r="Z531" s="54"/>
      <c r="AA531" s="54"/>
      <c r="AB531" s="54"/>
      <c r="AC531" s="1342" t="s">
        <v>124</v>
      </c>
      <c r="AD531" s="1152"/>
      <c r="AE531" s="1152"/>
      <c r="AF531" s="1152"/>
      <c r="AG531" s="47" t="s">
        <v>248</v>
      </c>
      <c r="AH531" s="1122"/>
      <c r="AI531" s="1122"/>
      <c r="AJ531" s="1122"/>
      <c r="AK531" s="1123"/>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66"/>
      <c r="C532" s="1367"/>
      <c r="D532" s="1367"/>
      <c r="E532" s="1367"/>
      <c r="F532" s="1367"/>
      <c r="G532" s="1367"/>
      <c r="H532" s="1368"/>
      <c r="I532" s="7" t="s">
        <v>688</v>
      </c>
      <c r="J532" s="7"/>
      <c r="K532" s="7"/>
      <c r="L532" s="7"/>
      <c r="M532" s="7"/>
      <c r="N532" s="7"/>
      <c r="O532" s="1341" t="s">
        <v>562</v>
      </c>
      <c r="P532" s="1323"/>
      <c r="Q532" s="1323"/>
      <c r="R532" s="1323"/>
      <c r="S532" s="1323"/>
      <c r="T532" s="1323"/>
      <c r="U532" s="1323"/>
      <c r="V532" s="1323"/>
      <c r="W532" s="1323"/>
      <c r="X532" s="1323"/>
      <c r="Y532" s="1323"/>
      <c r="Z532" s="1323"/>
      <c r="AA532" s="1323"/>
      <c r="AC532" s="1342" t="s">
        <v>124</v>
      </c>
      <c r="AD532" s="1152"/>
      <c r="AE532" s="1152"/>
      <c r="AF532" s="1152"/>
      <c r="AG532" s="18" t="s">
        <v>248</v>
      </c>
      <c r="AH532" s="1122"/>
      <c r="AI532" s="1122"/>
      <c r="AJ532" s="1122"/>
      <c r="AK532" s="1123"/>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66"/>
      <c r="C533" s="1367"/>
      <c r="D533" s="1367"/>
      <c r="E533" s="1367"/>
      <c r="F533" s="1367"/>
      <c r="G533" s="1367"/>
      <c r="H533" s="1368"/>
      <c r="I533" t="s">
        <v>686</v>
      </c>
      <c r="AC533" s="1342" t="s">
        <v>124</v>
      </c>
      <c r="AD533" s="1152"/>
      <c r="AE533" s="1152"/>
      <c r="AF533" s="1152"/>
      <c r="AG533" s="18" t="s">
        <v>248</v>
      </c>
      <c r="AH533" s="1122"/>
      <c r="AI533" s="1122"/>
      <c r="AJ533" s="1122"/>
      <c r="AK533" s="1123"/>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66"/>
      <c r="C534" s="1367"/>
      <c r="D534" s="1367"/>
      <c r="E534" s="1367"/>
      <c r="F534" s="1367"/>
      <c r="G534" s="1367"/>
      <c r="H534" s="1368"/>
      <c r="I534" s="54" t="s">
        <v>687</v>
      </c>
      <c r="J534" s="54"/>
      <c r="K534" s="54"/>
      <c r="L534" s="54"/>
      <c r="M534" s="54"/>
      <c r="N534" s="54"/>
      <c r="O534" s="54"/>
      <c r="P534" s="54"/>
      <c r="Q534" s="54"/>
      <c r="R534" s="54"/>
      <c r="S534" s="54"/>
      <c r="T534" s="54"/>
      <c r="U534" s="54"/>
      <c r="V534" s="54"/>
      <c r="W534" s="54"/>
      <c r="X534" s="54"/>
      <c r="Y534" s="54"/>
      <c r="Z534" s="54"/>
      <c r="AA534" s="54"/>
      <c r="AB534" s="54"/>
      <c r="AC534" s="1342" t="s">
        <v>124</v>
      </c>
      <c r="AD534" s="1152"/>
      <c r="AE534" s="1152"/>
      <c r="AF534" s="1152"/>
      <c r="AG534" s="47" t="s">
        <v>248</v>
      </c>
      <c r="AH534" s="1122"/>
      <c r="AI534" s="1122"/>
      <c r="AJ534" s="1122"/>
      <c r="AK534" s="1123"/>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66"/>
      <c r="C535" s="1367"/>
      <c r="D535" s="1367"/>
      <c r="E535" s="1367"/>
      <c r="F535" s="1367"/>
      <c r="G535" s="1367"/>
      <c r="H535" s="1368"/>
      <c r="I535" s="7" t="s">
        <v>688</v>
      </c>
      <c r="J535" s="7"/>
      <c r="K535" s="7"/>
      <c r="L535" s="7"/>
      <c r="M535" s="7"/>
      <c r="N535" s="7"/>
      <c r="O535" s="1341" t="s">
        <v>562</v>
      </c>
      <c r="P535" s="1323"/>
      <c r="Q535" s="1323"/>
      <c r="R535" s="1323"/>
      <c r="S535" s="1323"/>
      <c r="T535" s="1323"/>
      <c r="U535" s="1323"/>
      <c r="V535" s="1323"/>
      <c r="W535" s="1323"/>
      <c r="X535" s="1323"/>
      <c r="Y535" s="1323"/>
      <c r="Z535" s="1323"/>
      <c r="AA535" s="1323"/>
      <c r="AC535" s="1342" t="s">
        <v>124</v>
      </c>
      <c r="AD535" s="1152"/>
      <c r="AE535" s="1152"/>
      <c r="AF535" s="1152"/>
      <c r="AG535" s="18" t="s">
        <v>248</v>
      </c>
      <c r="AH535" s="1122"/>
      <c r="AI535" s="1122"/>
      <c r="AJ535" s="1122"/>
      <c r="AK535" s="1123"/>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66"/>
      <c r="C536" s="1367"/>
      <c r="D536" s="1367"/>
      <c r="E536" s="1367"/>
      <c r="F536" s="1367"/>
      <c r="G536" s="1367"/>
      <c r="H536" s="1368"/>
      <c r="I536" t="s">
        <v>686</v>
      </c>
      <c r="AC536" s="1342" t="s">
        <v>124</v>
      </c>
      <c r="AD536" s="1152"/>
      <c r="AE536" s="1152"/>
      <c r="AF536" s="1152"/>
      <c r="AG536" s="47" t="s">
        <v>248</v>
      </c>
      <c r="AH536" s="1122"/>
      <c r="AI536" s="1122"/>
      <c r="AJ536" s="1122"/>
      <c r="AK536" s="1123"/>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66"/>
      <c r="C537" s="1367"/>
      <c r="D537" s="1367"/>
      <c r="E537" s="1367"/>
      <c r="F537" s="1367"/>
      <c r="G537" s="1367"/>
      <c r="H537" s="1368"/>
      <c r="I537" s="54" t="s">
        <v>687</v>
      </c>
      <c r="J537" s="54"/>
      <c r="K537" s="54"/>
      <c r="L537" s="54"/>
      <c r="M537" s="54"/>
      <c r="N537" s="54"/>
      <c r="O537" s="54"/>
      <c r="P537" s="54"/>
      <c r="Q537" s="54"/>
      <c r="R537" s="54"/>
      <c r="S537" s="54"/>
      <c r="T537" s="54"/>
      <c r="U537" s="54"/>
      <c r="V537" s="54"/>
      <c r="W537" s="54"/>
      <c r="X537" s="54"/>
      <c r="Y537" s="54"/>
      <c r="Z537" s="54"/>
      <c r="AA537" s="54"/>
      <c r="AB537" s="54"/>
      <c r="AC537" s="1342" t="s">
        <v>124</v>
      </c>
      <c r="AD537" s="1152"/>
      <c r="AE537" s="1152"/>
      <c r="AF537" s="1152"/>
      <c r="AG537" s="18" t="s">
        <v>248</v>
      </c>
      <c r="AH537" s="1122"/>
      <c r="AI537" s="1122"/>
      <c r="AJ537" s="1122"/>
      <c r="AK537" s="1123"/>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66"/>
      <c r="C538" s="1367"/>
      <c r="D538" s="1367"/>
      <c r="E538" s="1367"/>
      <c r="F538" s="1367"/>
      <c r="G538" s="1367"/>
      <c r="H538" s="1368"/>
      <c r="I538" s="7" t="s">
        <v>688</v>
      </c>
      <c r="J538" s="7"/>
      <c r="K538" s="7"/>
      <c r="L538" s="7"/>
      <c r="M538" s="7"/>
      <c r="N538" s="7"/>
      <c r="O538" s="1341" t="s">
        <v>562</v>
      </c>
      <c r="P538" s="1323"/>
      <c r="Q538" s="1323"/>
      <c r="R538" s="1323"/>
      <c r="S538" s="1323"/>
      <c r="T538" s="1323"/>
      <c r="U538" s="1323"/>
      <c r="V538" s="1323"/>
      <c r="W538" s="1323"/>
      <c r="X538" s="1323"/>
      <c r="Y538" s="1323"/>
      <c r="Z538" s="1323"/>
      <c r="AA538" s="1323"/>
      <c r="AC538" s="1342" t="s">
        <v>124</v>
      </c>
      <c r="AD538" s="1152"/>
      <c r="AE538" s="1152"/>
      <c r="AF538" s="1152"/>
      <c r="AG538" s="47" t="s">
        <v>248</v>
      </c>
      <c r="AH538" s="1122"/>
      <c r="AI538" s="1122"/>
      <c r="AJ538" s="1122"/>
      <c r="AK538" s="1123"/>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66"/>
      <c r="C539" s="1367"/>
      <c r="D539" s="1367"/>
      <c r="E539" s="1367"/>
      <c r="F539" s="1367"/>
      <c r="G539" s="1367"/>
      <c r="H539" s="1368"/>
      <c r="I539" t="s">
        <v>686</v>
      </c>
      <c r="AC539" s="1342" t="s">
        <v>124</v>
      </c>
      <c r="AD539" s="1152"/>
      <c r="AE539" s="1152"/>
      <c r="AF539" s="1152"/>
      <c r="AG539" s="18" t="s">
        <v>248</v>
      </c>
      <c r="AH539" s="1122"/>
      <c r="AI539" s="1122"/>
      <c r="AJ539" s="1122"/>
      <c r="AK539" s="1123"/>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66"/>
      <c r="C540" s="1367"/>
      <c r="D540" s="1367"/>
      <c r="E540" s="1367"/>
      <c r="F540" s="1367"/>
      <c r="G540" s="1367"/>
      <c r="H540" s="1368"/>
      <c r="I540" s="54" t="s">
        <v>687</v>
      </c>
      <c r="J540" s="54"/>
      <c r="K540" s="54"/>
      <c r="L540" s="54"/>
      <c r="M540" s="54"/>
      <c r="N540" s="54"/>
      <c r="O540" s="54"/>
      <c r="P540" s="54"/>
      <c r="Q540" s="54"/>
      <c r="R540" s="54"/>
      <c r="S540" s="54"/>
      <c r="T540" s="54"/>
      <c r="U540" s="54"/>
      <c r="V540" s="54"/>
      <c r="W540" s="54"/>
      <c r="X540" s="54"/>
      <c r="Y540" s="54"/>
      <c r="Z540" s="54"/>
      <c r="AA540" s="54"/>
      <c r="AB540" s="54"/>
      <c r="AC540" s="1342" t="s">
        <v>124</v>
      </c>
      <c r="AD540" s="1152"/>
      <c r="AE540" s="1152"/>
      <c r="AF540" s="1152"/>
      <c r="AG540" s="47" t="s">
        <v>248</v>
      </c>
      <c r="AH540" s="1122"/>
      <c r="AI540" s="1122"/>
      <c r="AJ540" s="1122"/>
      <c r="AK540" s="1123"/>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66"/>
      <c r="C541" s="1367"/>
      <c r="D541" s="1367"/>
      <c r="E541" s="1367"/>
      <c r="F541" s="1367"/>
      <c r="G541" s="1367"/>
      <c r="H541" s="1368"/>
      <c r="I541" s="7" t="s">
        <v>735</v>
      </c>
      <c r="J541" s="7"/>
      <c r="K541" s="7"/>
      <c r="L541" s="7"/>
      <c r="M541" s="7"/>
      <c r="N541" s="7"/>
      <c r="O541" s="7"/>
      <c r="P541" s="7"/>
      <c r="Q541" s="7"/>
      <c r="R541" s="7"/>
      <c r="S541" s="7"/>
      <c r="T541" s="7"/>
      <c r="U541" s="7"/>
      <c r="V541" s="7"/>
      <c r="W541" s="7"/>
      <c r="AC541" s="1383">
        <v>3</v>
      </c>
      <c r="AD541" s="1384"/>
      <c r="AE541" s="1384"/>
      <c r="AF541" s="1384"/>
      <c r="AG541" s="47" t="s">
        <v>248</v>
      </c>
      <c r="AH541" s="1407">
        <v>2027</v>
      </c>
      <c r="AI541" s="1407"/>
      <c r="AJ541" s="1407"/>
      <c r="AK541" s="1408"/>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66"/>
      <c r="C542" s="1367"/>
      <c r="D542" s="1367"/>
      <c r="E542" s="1367"/>
      <c r="F542" s="1367"/>
      <c r="G542" s="1367"/>
      <c r="H542" s="1368"/>
      <c r="I542" t="s">
        <v>736</v>
      </c>
      <c r="AC542" s="1383">
        <v>3</v>
      </c>
      <c r="AD542" s="1384"/>
      <c r="AE542" s="1384"/>
      <c r="AF542" s="1384"/>
      <c r="AG542" s="18" t="s">
        <v>248</v>
      </c>
      <c r="AH542" s="1407">
        <v>2026</v>
      </c>
      <c r="AI542" s="1407"/>
      <c r="AJ542" s="1407"/>
      <c r="AK542" s="1408"/>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66"/>
      <c r="C543" s="1367"/>
      <c r="D543" s="1367"/>
      <c r="E543" s="1367"/>
      <c r="F543" s="1367"/>
      <c r="G543" s="1367"/>
      <c r="H543" s="1368"/>
      <c r="I543" t="s">
        <v>737</v>
      </c>
      <c r="AC543" s="1383">
        <v>9</v>
      </c>
      <c r="AD543" s="1384"/>
      <c r="AE543" s="1384"/>
      <c r="AF543" s="1384"/>
      <c r="AG543" s="47" t="s">
        <v>248</v>
      </c>
      <c r="AH543" s="1407">
        <v>2027</v>
      </c>
      <c r="AI543" s="1407"/>
      <c r="AJ543" s="1407"/>
      <c r="AK543" s="1408"/>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66"/>
      <c r="C544" s="1367"/>
      <c r="D544" s="1367"/>
      <c r="E544" s="1367"/>
      <c r="F544" s="1367"/>
      <c r="G544" s="1367"/>
      <c r="H544" s="1368"/>
      <c r="I544" t="s">
        <v>738</v>
      </c>
      <c r="AC544" s="1383">
        <v>9</v>
      </c>
      <c r="AD544" s="1384"/>
      <c r="AE544" s="1384"/>
      <c r="AF544" s="1384"/>
      <c r="AG544" s="47" t="s">
        <v>248</v>
      </c>
      <c r="AH544" s="1407">
        <v>2027</v>
      </c>
      <c r="AI544" s="1407"/>
      <c r="AJ544" s="1407"/>
      <c r="AK544" s="1408"/>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9"/>
      <c r="C545" s="1370"/>
      <c r="D545" s="1370"/>
      <c r="E545" s="1370"/>
      <c r="F545" s="1370"/>
      <c r="G545" s="1370"/>
      <c r="H545" s="1371"/>
      <c r="I545" s="54" t="s">
        <v>1364</v>
      </c>
      <c r="J545" s="54"/>
      <c r="K545" s="54"/>
      <c r="L545" s="54"/>
      <c r="M545" s="54"/>
      <c r="N545" s="54"/>
      <c r="O545" s="54"/>
      <c r="P545" s="54"/>
      <c r="Q545" s="54"/>
      <c r="R545" s="54"/>
      <c r="S545" s="54"/>
      <c r="T545" s="54"/>
      <c r="U545" s="54"/>
      <c r="V545" s="54"/>
      <c r="W545" s="54"/>
      <c r="X545" s="54"/>
      <c r="Y545" s="54"/>
      <c r="Z545" s="54"/>
      <c r="AA545" s="54"/>
      <c r="AB545" s="54"/>
      <c r="AC545" s="1383">
        <v>10</v>
      </c>
      <c r="AD545" s="1384"/>
      <c r="AE545" s="1384"/>
      <c r="AF545" s="1384"/>
      <c r="AG545" s="47" t="s">
        <v>248</v>
      </c>
      <c r="AH545" s="1407">
        <v>2027</v>
      </c>
      <c r="AI545" s="1407"/>
      <c r="AJ545" s="1407"/>
      <c r="AK545" s="1408"/>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8" t="s">
        <v>498</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63" t="s">
        <v>2179</v>
      </c>
      <c r="C554" s="1364"/>
      <c r="D554" s="1364"/>
      <c r="E554" s="1364"/>
      <c r="F554" s="1364"/>
      <c r="G554" s="1364"/>
      <c r="H554" s="1364"/>
      <c r="I554" s="1364"/>
      <c r="J554" s="1364"/>
      <c r="K554" s="1364"/>
      <c r="L554" s="1364"/>
      <c r="M554" s="1463" t="s">
        <v>2153</v>
      </c>
      <c r="N554" s="1463"/>
      <c r="O554" s="1463"/>
      <c r="P554" s="1463"/>
      <c r="Q554" s="1363" t="s">
        <v>440</v>
      </c>
      <c r="R554" s="1364"/>
      <c r="S554" s="1365"/>
      <c r="T554" s="1363" t="s">
        <v>1977</v>
      </c>
      <c r="U554" s="1364"/>
      <c r="V554" s="1365"/>
      <c r="W554" s="1363" t="s">
        <v>740</v>
      </c>
      <c r="X554" s="1364"/>
      <c r="Y554" s="1365"/>
      <c r="Z554" s="1363" t="s">
        <v>1979</v>
      </c>
      <c r="AA554" s="1364"/>
      <c r="AB554" s="1364"/>
      <c r="AC554" s="1364"/>
      <c r="AD554" s="1365"/>
      <c r="AE554" s="1363" t="s">
        <v>1978</v>
      </c>
      <c r="AF554" s="1364"/>
      <c r="AG554" s="1364"/>
      <c r="AH554" s="1365"/>
      <c r="AI554" s="1363" t="s">
        <v>1980</v>
      </c>
      <c r="AJ554" s="1364"/>
      <c r="AK554" s="1364"/>
      <c r="AL554" s="1365"/>
      <c r="AM554" s="1363" t="s">
        <v>741</v>
      </c>
      <c r="AN554" s="1364"/>
      <c r="AO554" s="1364"/>
      <c r="AP554" s="1364"/>
      <c r="AQ554" s="1364"/>
      <c r="AR554" s="1364"/>
      <c r="AS554" s="1365"/>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66"/>
      <c r="C555" s="1367"/>
      <c r="D555" s="1367"/>
      <c r="E555" s="1367"/>
      <c r="F555" s="1367"/>
      <c r="G555" s="1367"/>
      <c r="H555" s="1367"/>
      <c r="I555" s="1367"/>
      <c r="J555" s="1367"/>
      <c r="K555" s="1367"/>
      <c r="L555" s="1367"/>
      <c r="M555" s="1463"/>
      <c r="N555" s="1463"/>
      <c r="O555" s="1463"/>
      <c r="P555" s="1463"/>
      <c r="Q555" s="1366"/>
      <c r="R555" s="1367"/>
      <c r="S555" s="1368"/>
      <c r="T555" s="1366"/>
      <c r="U555" s="1367"/>
      <c r="V555" s="1368"/>
      <c r="W555" s="1366"/>
      <c r="X555" s="1367"/>
      <c r="Y555" s="1368"/>
      <c r="Z555" s="1366"/>
      <c r="AA555" s="1367"/>
      <c r="AB555" s="1367"/>
      <c r="AC555" s="1367"/>
      <c r="AD555" s="1368"/>
      <c r="AE555" s="1366"/>
      <c r="AF555" s="1367"/>
      <c r="AG555" s="1367"/>
      <c r="AH555" s="1368"/>
      <c r="AI555" s="1366"/>
      <c r="AJ555" s="1367"/>
      <c r="AK555" s="1367"/>
      <c r="AL555" s="1368"/>
      <c r="AM555" s="1366"/>
      <c r="AN555" s="1367"/>
      <c r="AO555" s="1367"/>
      <c r="AP555" s="1367"/>
      <c r="AQ555" s="1367"/>
      <c r="AR555" s="1367"/>
      <c r="AS555" s="136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9"/>
      <c r="C556" s="1370"/>
      <c r="D556" s="1370"/>
      <c r="E556" s="1370"/>
      <c r="F556" s="1370"/>
      <c r="G556" s="1370"/>
      <c r="H556" s="1370"/>
      <c r="I556" s="1370"/>
      <c r="J556" s="1370"/>
      <c r="K556" s="1370"/>
      <c r="L556" s="1370"/>
      <c r="M556" s="1463"/>
      <c r="N556" s="1463"/>
      <c r="O556" s="1463"/>
      <c r="P556" s="1463"/>
      <c r="Q556" s="1369"/>
      <c r="R556" s="1370"/>
      <c r="S556" s="1371"/>
      <c r="T556" s="1369"/>
      <c r="U556" s="1370"/>
      <c r="V556" s="1371"/>
      <c r="W556" s="1369"/>
      <c r="X556" s="1370"/>
      <c r="Y556" s="1371"/>
      <c r="Z556" s="1369"/>
      <c r="AA556" s="1370"/>
      <c r="AB556" s="1370"/>
      <c r="AC556" s="1370"/>
      <c r="AD556" s="1371"/>
      <c r="AE556" s="1369"/>
      <c r="AF556" s="1370"/>
      <c r="AG556" s="1370"/>
      <c r="AH556" s="1371"/>
      <c r="AI556" s="1369"/>
      <c r="AJ556" s="1370"/>
      <c r="AK556" s="1370"/>
      <c r="AL556" s="1371"/>
      <c r="AM556" s="1369"/>
      <c r="AN556" s="1370"/>
      <c r="AO556" s="1370"/>
      <c r="AP556" s="1370"/>
      <c r="AQ556" s="1370"/>
      <c r="AR556" s="1370"/>
      <c r="AS556" s="137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100" t="s">
        <v>2447</v>
      </c>
      <c r="D557" s="1100"/>
      <c r="E557" s="1100"/>
      <c r="F557" s="1100"/>
      <c r="G557" s="1100"/>
      <c r="H557" s="1100"/>
      <c r="I557" s="1100"/>
      <c r="J557" s="1100"/>
      <c r="K557" s="1100"/>
      <c r="L557" s="1100"/>
      <c r="M557" s="1101" t="s">
        <v>2163</v>
      </c>
      <c r="N557" s="1101"/>
      <c r="O557" s="1101"/>
      <c r="P557" s="1101"/>
      <c r="Q557" s="1098">
        <v>24</v>
      </c>
      <c r="R557" s="1098"/>
      <c r="S557" s="1099"/>
      <c r="T557" s="1097">
        <v>24</v>
      </c>
      <c r="U557" s="1098"/>
      <c r="V557" s="1099"/>
      <c r="W557" s="1093">
        <v>6.7000000000000004E-2</v>
      </c>
      <c r="X557" s="1094"/>
      <c r="Y557" s="1095"/>
      <c r="Z557" s="1096" t="s">
        <v>2449</v>
      </c>
      <c r="AA557" s="1096"/>
      <c r="AB557" s="1096"/>
      <c r="AC557" s="1096"/>
      <c r="AD557" s="1096"/>
      <c r="AE557" s="1087"/>
      <c r="AF557" s="1088"/>
      <c r="AG557" s="1088"/>
      <c r="AH557" s="1089"/>
      <c r="AI557" s="1090"/>
      <c r="AJ557" s="1091"/>
      <c r="AK557" s="1091"/>
      <c r="AL557" s="1092"/>
      <c r="AM557" s="1128">
        <v>21960764</v>
      </c>
      <c r="AN557" s="1129"/>
      <c r="AO557" s="1129"/>
      <c r="AP557" s="1129"/>
      <c r="AQ557" s="1129"/>
      <c r="AR557" s="1129"/>
      <c r="AS557" s="1130"/>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100" t="s">
        <v>2448</v>
      </c>
      <c r="D558" s="1100"/>
      <c r="E558" s="1100"/>
      <c r="F558" s="1100"/>
      <c r="G558" s="1100"/>
      <c r="H558" s="1100"/>
      <c r="I558" s="1100"/>
      <c r="J558" s="1100"/>
      <c r="K558" s="1100"/>
      <c r="L558" s="1100"/>
      <c r="M558" s="1101" t="s">
        <v>2160</v>
      </c>
      <c r="N558" s="1101"/>
      <c r="O558" s="1101"/>
      <c r="P558" s="1101"/>
      <c r="Q558" s="1097"/>
      <c r="R558" s="1098"/>
      <c r="S558" s="1099"/>
      <c r="T558" s="1097"/>
      <c r="U558" s="1098"/>
      <c r="V558" s="1099"/>
      <c r="W558" s="1093"/>
      <c r="X558" s="1094"/>
      <c r="Y558" s="1095"/>
      <c r="Z558" s="1096" t="s">
        <v>1965</v>
      </c>
      <c r="AA558" s="1096"/>
      <c r="AB558" s="1096"/>
      <c r="AC558" s="1096"/>
      <c r="AD558" s="1096"/>
      <c r="AE558" s="1087"/>
      <c r="AF558" s="1088"/>
      <c r="AG558" s="1088"/>
      <c r="AH558" s="1089"/>
      <c r="AI558" s="1090"/>
      <c r="AJ558" s="1091"/>
      <c r="AK558" s="1091"/>
      <c r="AL558" s="1092"/>
      <c r="AM558" s="1128">
        <f>+AO643-SUM(AM557)</f>
        <v>8353223</v>
      </c>
      <c r="AN558" s="1129"/>
      <c r="AO558" s="1129"/>
      <c r="AP558" s="1129"/>
      <c r="AQ558" s="1129"/>
      <c r="AR558" s="1129"/>
      <c r="AS558" s="1130"/>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100"/>
      <c r="D559" s="1100"/>
      <c r="E559" s="1100"/>
      <c r="F559" s="1100"/>
      <c r="G559" s="1100"/>
      <c r="H559" s="1100"/>
      <c r="I559" s="1100"/>
      <c r="J559" s="1100"/>
      <c r="K559" s="1100"/>
      <c r="L559" s="1100"/>
      <c r="M559" s="1101" t="s">
        <v>1965</v>
      </c>
      <c r="N559" s="1101"/>
      <c r="O559" s="1101"/>
      <c r="P559" s="1101"/>
      <c r="Q559" s="1097"/>
      <c r="R559" s="1098"/>
      <c r="S559" s="1099"/>
      <c r="T559" s="1097"/>
      <c r="U559" s="1098"/>
      <c r="V559" s="1099"/>
      <c r="W559" s="1093"/>
      <c r="X559" s="1094"/>
      <c r="Y559" s="1095"/>
      <c r="Z559" s="1096" t="s">
        <v>1965</v>
      </c>
      <c r="AA559" s="1096"/>
      <c r="AB559" s="1096"/>
      <c r="AC559" s="1096"/>
      <c r="AD559" s="1096"/>
      <c r="AE559" s="1087"/>
      <c r="AF559" s="1088"/>
      <c r="AG559" s="1088"/>
      <c r="AH559" s="1089"/>
      <c r="AI559" s="1090"/>
      <c r="AJ559" s="1091"/>
      <c r="AK559" s="1091"/>
      <c r="AL559" s="1092"/>
      <c r="AM559" s="1128"/>
      <c r="AN559" s="1129"/>
      <c r="AO559" s="1129"/>
      <c r="AP559" s="1129"/>
      <c r="AQ559" s="1129"/>
      <c r="AR559" s="1129"/>
      <c r="AS559" s="1130"/>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00"/>
      <c r="D560" s="1100"/>
      <c r="E560" s="1100"/>
      <c r="F560" s="1100"/>
      <c r="G560" s="1100"/>
      <c r="H560" s="1100"/>
      <c r="I560" s="1100"/>
      <c r="J560" s="1100"/>
      <c r="K560" s="1100"/>
      <c r="L560" s="1100"/>
      <c r="M560" s="1101" t="s">
        <v>1965</v>
      </c>
      <c r="N560" s="1101"/>
      <c r="O560" s="1101"/>
      <c r="P560" s="1101"/>
      <c r="Q560" s="1097"/>
      <c r="R560" s="1098"/>
      <c r="S560" s="1099"/>
      <c r="T560" s="1097"/>
      <c r="U560" s="1098"/>
      <c r="V560" s="1099"/>
      <c r="W560" s="1093"/>
      <c r="X560" s="1094"/>
      <c r="Y560" s="1095"/>
      <c r="Z560" s="1096" t="s">
        <v>1965</v>
      </c>
      <c r="AA560" s="1096"/>
      <c r="AB560" s="1096"/>
      <c r="AC560" s="1096"/>
      <c r="AD560" s="1096"/>
      <c r="AE560" s="1087"/>
      <c r="AF560" s="1088"/>
      <c r="AG560" s="1088"/>
      <c r="AH560" s="1089"/>
      <c r="AI560" s="1090"/>
      <c r="AJ560" s="1091"/>
      <c r="AK560" s="1091"/>
      <c r="AL560" s="1092"/>
      <c r="AM560" s="1128"/>
      <c r="AN560" s="1129"/>
      <c r="AO560" s="1129"/>
      <c r="AP560" s="1129"/>
      <c r="AQ560" s="1129"/>
      <c r="AR560" s="1129"/>
      <c r="AS560" s="1130"/>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00"/>
      <c r="D561" s="1100"/>
      <c r="E561" s="1100"/>
      <c r="F561" s="1100"/>
      <c r="G561" s="1100"/>
      <c r="H561" s="1100"/>
      <c r="I561" s="1100"/>
      <c r="J561" s="1100"/>
      <c r="K561" s="1100"/>
      <c r="L561" s="1100"/>
      <c r="M561" s="1101" t="s">
        <v>1965</v>
      </c>
      <c r="N561" s="1101"/>
      <c r="O561" s="1101"/>
      <c r="P561" s="1101"/>
      <c r="Q561" s="1097"/>
      <c r="R561" s="1098"/>
      <c r="S561" s="1099"/>
      <c r="T561" s="1097"/>
      <c r="U561" s="1098"/>
      <c r="V561" s="1099"/>
      <c r="W561" s="1093"/>
      <c r="X561" s="1094"/>
      <c r="Y561" s="1095"/>
      <c r="Z561" s="1096" t="s">
        <v>1965</v>
      </c>
      <c r="AA561" s="1096"/>
      <c r="AB561" s="1096"/>
      <c r="AC561" s="1096"/>
      <c r="AD561" s="1096"/>
      <c r="AE561" s="1087"/>
      <c r="AF561" s="1088"/>
      <c r="AG561" s="1088"/>
      <c r="AH561" s="1089"/>
      <c r="AI561" s="1090"/>
      <c r="AJ561" s="1091"/>
      <c r="AK561" s="1091"/>
      <c r="AL561" s="1092"/>
      <c r="AM561" s="1128"/>
      <c r="AN561" s="1129"/>
      <c r="AO561" s="1129"/>
      <c r="AP561" s="1129"/>
      <c r="AQ561" s="1129"/>
      <c r="AR561" s="1129"/>
      <c r="AS561" s="1130"/>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00"/>
      <c r="D562" s="1100"/>
      <c r="E562" s="1100"/>
      <c r="F562" s="1100"/>
      <c r="G562" s="1100"/>
      <c r="H562" s="1100"/>
      <c r="I562" s="1100"/>
      <c r="J562" s="1100"/>
      <c r="K562" s="1100"/>
      <c r="L562" s="1100"/>
      <c r="M562" s="1101" t="s">
        <v>1965</v>
      </c>
      <c r="N562" s="1101"/>
      <c r="O562" s="1101"/>
      <c r="P562" s="1101"/>
      <c r="Q562" s="1097"/>
      <c r="R562" s="1098"/>
      <c r="S562" s="1099"/>
      <c r="T562" s="1097"/>
      <c r="U562" s="1098"/>
      <c r="V562" s="1099"/>
      <c r="W562" s="1093"/>
      <c r="X562" s="1094"/>
      <c r="Y562" s="1095"/>
      <c r="Z562" s="1096" t="s">
        <v>1965</v>
      </c>
      <c r="AA562" s="1096"/>
      <c r="AB562" s="1096"/>
      <c r="AC562" s="1096"/>
      <c r="AD562" s="1096"/>
      <c r="AE562" s="1087"/>
      <c r="AF562" s="1088"/>
      <c r="AG562" s="1088"/>
      <c r="AH562" s="1089"/>
      <c r="AI562" s="1090"/>
      <c r="AJ562" s="1091"/>
      <c r="AK562" s="1091"/>
      <c r="AL562" s="1092"/>
      <c r="AM562" s="1128"/>
      <c r="AN562" s="1129"/>
      <c r="AO562" s="1129"/>
      <c r="AP562" s="1129"/>
      <c r="AQ562" s="1129"/>
      <c r="AR562" s="1129"/>
      <c r="AS562" s="1130"/>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100"/>
      <c r="D563" s="1100"/>
      <c r="E563" s="1100"/>
      <c r="F563" s="1100"/>
      <c r="G563" s="1100"/>
      <c r="H563" s="1100"/>
      <c r="I563" s="1100"/>
      <c r="J563" s="1100"/>
      <c r="K563" s="1100"/>
      <c r="L563" s="1100"/>
      <c r="M563" s="1101" t="s">
        <v>1965</v>
      </c>
      <c r="N563" s="1101"/>
      <c r="O563" s="1101"/>
      <c r="P563" s="1101"/>
      <c r="Q563" s="1097"/>
      <c r="R563" s="1098"/>
      <c r="S563" s="1099"/>
      <c r="T563" s="1097"/>
      <c r="U563" s="1098"/>
      <c r="V563" s="1099"/>
      <c r="W563" s="1093"/>
      <c r="X563" s="1094"/>
      <c r="Y563" s="1095"/>
      <c r="Z563" s="1096" t="s">
        <v>1965</v>
      </c>
      <c r="AA563" s="1096"/>
      <c r="AB563" s="1096"/>
      <c r="AC563" s="1096"/>
      <c r="AD563" s="1096"/>
      <c r="AE563" s="1087"/>
      <c r="AF563" s="1088"/>
      <c r="AG563" s="1088"/>
      <c r="AH563" s="1089"/>
      <c r="AI563" s="1090"/>
      <c r="AJ563" s="1091"/>
      <c r="AK563" s="1091"/>
      <c r="AL563" s="1092"/>
      <c r="AM563" s="1128"/>
      <c r="AN563" s="1129"/>
      <c r="AO563" s="1129"/>
      <c r="AP563" s="1129"/>
      <c r="AQ563" s="1129"/>
      <c r="AR563" s="1129"/>
      <c r="AS563" s="1130"/>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100"/>
      <c r="D564" s="1100"/>
      <c r="E564" s="1100"/>
      <c r="F564" s="1100"/>
      <c r="G564" s="1100"/>
      <c r="H564" s="1100"/>
      <c r="I564" s="1100"/>
      <c r="J564" s="1100"/>
      <c r="K564" s="1100"/>
      <c r="L564" s="1100"/>
      <c r="M564" s="1101" t="s">
        <v>1965</v>
      </c>
      <c r="N564" s="1101"/>
      <c r="O564" s="1101"/>
      <c r="P564" s="1101"/>
      <c r="Q564" s="1097"/>
      <c r="R564" s="1098"/>
      <c r="S564" s="1099"/>
      <c r="T564" s="1097"/>
      <c r="U564" s="1098"/>
      <c r="V564" s="1099"/>
      <c r="W564" s="1093"/>
      <c r="X564" s="1094"/>
      <c r="Y564" s="1095"/>
      <c r="Z564" s="1096" t="s">
        <v>1965</v>
      </c>
      <c r="AA564" s="1096"/>
      <c r="AB564" s="1096"/>
      <c r="AC564" s="1096"/>
      <c r="AD564" s="1096"/>
      <c r="AE564" s="1087"/>
      <c r="AF564" s="1088"/>
      <c r="AG564" s="1088"/>
      <c r="AH564" s="1089"/>
      <c r="AI564" s="1090"/>
      <c r="AJ564" s="1091"/>
      <c r="AK564" s="1091"/>
      <c r="AL564" s="1092"/>
      <c r="AM564" s="1128"/>
      <c r="AN564" s="1129"/>
      <c r="AO564" s="1129"/>
      <c r="AP564" s="1129"/>
      <c r="AQ564" s="1129"/>
      <c r="AR564" s="1129"/>
      <c r="AS564" s="1130"/>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100"/>
      <c r="D565" s="1100"/>
      <c r="E565" s="1100"/>
      <c r="F565" s="1100"/>
      <c r="G565" s="1100"/>
      <c r="H565" s="1100"/>
      <c r="I565" s="1100"/>
      <c r="J565" s="1100"/>
      <c r="K565" s="1100"/>
      <c r="L565" s="1100"/>
      <c r="M565" s="1101" t="s">
        <v>1965</v>
      </c>
      <c r="N565" s="1101"/>
      <c r="O565" s="1101"/>
      <c r="P565" s="1101"/>
      <c r="Q565" s="1097"/>
      <c r="R565" s="1098"/>
      <c r="S565" s="1099"/>
      <c r="T565" s="1097"/>
      <c r="U565" s="1098"/>
      <c r="V565" s="1099"/>
      <c r="W565" s="1093"/>
      <c r="X565" s="1094"/>
      <c r="Y565" s="1095"/>
      <c r="Z565" s="1096" t="s">
        <v>1965</v>
      </c>
      <c r="AA565" s="1096"/>
      <c r="AB565" s="1096"/>
      <c r="AC565" s="1096"/>
      <c r="AD565" s="1096"/>
      <c r="AE565" s="1087"/>
      <c r="AF565" s="1088"/>
      <c r="AG565" s="1088"/>
      <c r="AH565" s="1089"/>
      <c r="AI565" s="1090"/>
      <c r="AJ565" s="1091"/>
      <c r="AK565" s="1091"/>
      <c r="AL565" s="1092"/>
      <c r="AM565" s="1128"/>
      <c r="AN565" s="1129"/>
      <c r="AO565" s="1129"/>
      <c r="AP565" s="1129"/>
      <c r="AQ565" s="1129"/>
      <c r="AR565" s="1129"/>
      <c r="AS565" s="1130"/>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00"/>
      <c r="D566" s="1100"/>
      <c r="E566" s="1100"/>
      <c r="F566" s="1100"/>
      <c r="G566" s="1100"/>
      <c r="H566" s="1100"/>
      <c r="I566" s="1100"/>
      <c r="J566" s="1100"/>
      <c r="K566" s="1100"/>
      <c r="L566" s="1100"/>
      <c r="M566" s="1101" t="s">
        <v>1965</v>
      </c>
      <c r="N566" s="1101"/>
      <c r="O566" s="1101"/>
      <c r="P566" s="1101"/>
      <c r="Q566" s="1097"/>
      <c r="R566" s="1098"/>
      <c r="S566" s="1099"/>
      <c r="T566" s="1097"/>
      <c r="U566" s="1098"/>
      <c r="V566" s="1099"/>
      <c r="W566" s="1093"/>
      <c r="X566" s="1094"/>
      <c r="Y566" s="1095"/>
      <c r="Z566" s="1096" t="s">
        <v>1965</v>
      </c>
      <c r="AA566" s="1096"/>
      <c r="AB566" s="1096"/>
      <c r="AC566" s="1096"/>
      <c r="AD566" s="1096"/>
      <c r="AE566" s="1087"/>
      <c r="AF566" s="1088"/>
      <c r="AG566" s="1088"/>
      <c r="AH566" s="1089"/>
      <c r="AI566" s="1090"/>
      <c r="AJ566" s="1091"/>
      <c r="AK566" s="1091"/>
      <c r="AL566" s="1092"/>
      <c r="AM566" s="1128"/>
      <c r="AN566" s="1129"/>
      <c r="AO566" s="1129"/>
      <c r="AP566" s="1129"/>
      <c r="AQ566" s="1129"/>
      <c r="AR566" s="1129"/>
      <c r="AS566" s="1130"/>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00"/>
      <c r="D567" s="1100"/>
      <c r="E567" s="1100"/>
      <c r="F567" s="1100"/>
      <c r="G567" s="1100"/>
      <c r="H567" s="1100"/>
      <c r="I567" s="1100"/>
      <c r="J567" s="1100"/>
      <c r="K567" s="1100"/>
      <c r="L567" s="1100"/>
      <c r="M567" s="1101" t="s">
        <v>1965</v>
      </c>
      <c r="N567" s="1101"/>
      <c r="O567" s="1101"/>
      <c r="P567" s="1101"/>
      <c r="Q567" s="1097"/>
      <c r="R567" s="1098"/>
      <c r="S567" s="1099"/>
      <c r="T567" s="1097"/>
      <c r="U567" s="1098"/>
      <c r="V567" s="1099"/>
      <c r="W567" s="1093"/>
      <c r="X567" s="1094"/>
      <c r="Y567" s="1095"/>
      <c r="Z567" s="1096" t="s">
        <v>1965</v>
      </c>
      <c r="AA567" s="1096"/>
      <c r="AB567" s="1096"/>
      <c r="AC567" s="1096"/>
      <c r="AD567" s="1096"/>
      <c r="AE567" s="1087"/>
      <c r="AF567" s="1088"/>
      <c r="AG567" s="1088"/>
      <c r="AH567" s="1089"/>
      <c r="AI567" s="1090"/>
      <c r="AJ567" s="1091"/>
      <c r="AK567" s="1091"/>
      <c r="AL567" s="1092"/>
      <c r="AM567" s="1128"/>
      <c r="AN567" s="1129"/>
      <c r="AO567" s="1129"/>
      <c r="AP567" s="1129"/>
      <c r="AQ567" s="1129"/>
      <c r="AR567" s="1129"/>
      <c r="AS567" s="1130"/>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00"/>
      <c r="D568" s="1100"/>
      <c r="E568" s="1100"/>
      <c r="F568" s="1100"/>
      <c r="G568" s="1100"/>
      <c r="H568" s="1100"/>
      <c r="I568" s="1100"/>
      <c r="J568" s="1100"/>
      <c r="K568" s="1100"/>
      <c r="L568" s="1100"/>
      <c r="M568" s="1101" t="s">
        <v>1965</v>
      </c>
      <c r="N568" s="1101"/>
      <c r="O568" s="1101"/>
      <c r="P568" s="1101"/>
      <c r="Q568" s="1097"/>
      <c r="R568" s="1098"/>
      <c r="S568" s="1099"/>
      <c r="T568" s="1097"/>
      <c r="U568" s="1098"/>
      <c r="V568" s="1099"/>
      <c r="W568" s="1093"/>
      <c r="X568" s="1094"/>
      <c r="Y568" s="1095"/>
      <c r="Z568" s="1096" t="s">
        <v>1965</v>
      </c>
      <c r="AA568" s="1096"/>
      <c r="AB568" s="1096"/>
      <c r="AC568" s="1096"/>
      <c r="AD568" s="1096"/>
      <c r="AE568" s="1087"/>
      <c r="AF568" s="1088"/>
      <c r="AG568" s="1088"/>
      <c r="AH568" s="1089"/>
      <c r="AI568" s="1090"/>
      <c r="AJ568" s="1091"/>
      <c r="AK568" s="1091"/>
      <c r="AL568" s="1092"/>
      <c r="AM568" s="1128"/>
      <c r="AN568" s="1129"/>
      <c r="AO568" s="1129"/>
      <c r="AP568" s="1129"/>
      <c r="AQ568" s="1129"/>
      <c r="AR568" s="1129"/>
      <c r="AS568" s="1130"/>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225" t="s">
        <v>357</v>
      </c>
      <c r="C569" s="1226"/>
      <c r="D569" s="1226"/>
      <c r="E569" s="1226"/>
      <c r="F569" s="1226"/>
      <c r="G569" s="1226"/>
      <c r="H569" s="1226"/>
      <c r="I569" s="1226"/>
      <c r="J569" s="1226"/>
      <c r="K569" s="1226"/>
      <c r="L569" s="1226"/>
      <c r="M569" s="1226"/>
      <c r="N569" s="1226"/>
      <c r="O569" s="1226"/>
      <c r="P569" s="1226"/>
      <c r="Q569" s="1226"/>
      <c r="R569" s="1226"/>
      <c r="S569" s="1226"/>
      <c r="T569" s="1226"/>
      <c r="U569" s="1496"/>
      <c r="V569" s="1226"/>
      <c r="W569" s="1226"/>
      <c r="X569" s="1226"/>
      <c r="Y569" s="1226"/>
      <c r="Z569" s="1226"/>
      <c r="AA569" s="1226"/>
      <c r="AB569" s="1226"/>
      <c r="AC569" s="1226"/>
      <c r="AD569" s="1226"/>
      <c r="AE569" s="1226"/>
      <c r="AF569" s="1226"/>
      <c r="AG569" s="1226"/>
      <c r="AH569" s="1226"/>
      <c r="AI569" s="1226"/>
      <c r="AJ569" s="1226"/>
      <c r="AK569" s="1226"/>
      <c r="AL569" s="1227"/>
      <c r="AM569" s="1236">
        <f>SUM(AM557:AS568)</f>
        <v>30313987</v>
      </c>
      <c r="AN569" s="1237"/>
      <c r="AO569" s="1237"/>
      <c r="AP569" s="1237"/>
      <c r="AQ569" s="1237"/>
      <c r="AR569" s="1237"/>
      <c r="AS569" s="1238"/>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306" t="str">
        <f>C557</f>
        <v>Citi Bank Construction Loan</v>
      </c>
      <c r="H571" s="1306"/>
      <c r="I571" s="1306"/>
      <c r="J571" s="1306"/>
      <c r="K571" s="1306"/>
      <c r="L571" s="1306"/>
      <c r="M571" s="1306"/>
      <c r="N571" s="1306"/>
      <c r="O571" s="1306"/>
      <c r="P571" s="1306"/>
      <c r="Q571" s="1306"/>
      <c r="R571" s="1306"/>
      <c r="S571" s="12"/>
      <c r="T571" s="61" t="s">
        <v>901</v>
      </c>
      <c r="U571" t="s">
        <v>82</v>
      </c>
      <c r="Z571" s="1306" t="str">
        <f>C558</f>
        <v>Boston Financial Tax Credit Equity</v>
      </c>
      <c r="AA571" s="1306"/>
      <c r="AB571" s="1306"/>
      <c r="AC571" s="1306"/>
      <c r="AD571" s="1306"/>
      <c r="AE571" s="1306"/>
      <c r="AF571" s="1306"/>
      <c r="AG571" s="1306"/>
      <c r="AH571" s="1306"/>
      <c r="AI571" s="1306"/>
      <c r="AJ571" s="1306"/>
      <c r="AK571" s="130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63" t="s">
        <v>2450</v>
      </c>
      <c r="H572" s="1063"/>
      <c r="I572" s="1063"/>
      <c r="J572" s="1063"/>
      <c r="K572" s="1063"/>
      <c r="L572" s="1063"/>
      <c r="M572" s="1063"/>
      <c r="N572" s="1063"/>
      <c r="O572" s="1063"/>
      <c r="P572" s="1063"/>
      <c r="Q572" s="1063"/>
      <c r="R572" s="1063"/>
      <c r="S572" s="12"/>
      <c r="T572" s="4"/>
      <c r="U572" t="s">
        <v>372</v>
      </c>
      <c r="Z572" s="1063" t="s">
        <v>2455</v>
      </c>
      <c r="AA572" s="1063"/>
      <c r="AB572" s="1063"/>
      <c r="AC572" s="1063"/>
      <c r="AD572" s="1063"/>
      <c r="AE572" s="1063"/>
      <c r="AF572" s="1063"/>
      <c r="AG572" s="1063"/>
      <c r="AH572" s="1063"/>
      <c r="AI572" s="1063"/>
      <c r="AJ572" s="1063"/>
      <c r="AK572" s="106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63" t="s">
        <v>2451</v>
      </c>
      <c r="H573" s="1063"/>
      <c r="I573" s="1063"/>
      <c r="J573" s="1063"/>
      <c r="K573" s="1063"/>
      <c r="L573" s="1063"/>
      <c r="M573" s="1063"/>
      <c r="N573" s="1063"/>
      <c r="O573" s="1063"/>
      <c r="P573" s="1063"/>
      <c r="Q573" s="1063"/>
      <c r="R573" s="1063"/>
      <c r="T573" s="4"/>
      <c r="U573" t="s">
        <v>430</v>
      </c>
      <c r="Z573" s="1062" t="s">
        <v>2393</v>
      </c>
      <c r="AA573" s="1062"/>
      <c r="AB573" s="1062"/>
      <c r="AC573" s="1062"/>
      <c r="AD573" s="1062"/>
      <c r="AE573" s="1062"/>
      <c r="AF573" s="1062"/>
      <c r="AG573" s="1062"/>
      <c r="AH573" s="1062"/>
      <c r="AI573" s="1062"/>
      <c r="AJ573" s="1062"/>
      <c r="AK573" s="106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063" t="s">
        <v>2452</v>
      </c>
      <c r="H574" s="1063"/>
      <c r="I574" s="1063"/>
      <c r="J574" s="1063"/>
      <c r="K574" s="1063"/>
      <c r="L574" s="1063"/>
      <c r="M574" s="1063"/>
      <c r="N574" s="1063"/>
      <c r="O574" s="1063"/>
      <c r="P574" s="1063"/>
      <c r="Q574" s="1063"/>
      <c r="R574" s="1063"/>
      <c r="S574" s="12"/>
      <c r="T574" s="4"/>
      <c r="U574" t="s">
        <v>833</v>
      </c>
      <c r="Z574" s="1062" t="s">
        <v>2394</v>
      </c>
      <c r="AA574" s="1062"/>
      <c r="AB574" s="1062"/>
      <c r="AC574" s="1062"/>
      <c r="AD574" s="1062"/>
      <c r="AE574" s="1062"/>
      <c r="AF574" s="1062"/>
      <c r="AG574" s="1062"/>
      <c r="AH574" s="1062"/>
      <c r="AI574" s="1062"/>
      <c r="AJ574" s="1062"/>
      <c r="AK574" s="1062"/>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064" t="s">
        <v>2453</v>
      </c>
      <c r="H575" s="1064"/>
      <c r="I575" s="1064"/>
      <c r="J575" s="1064"/>
      <c r="K575" s="1064"/>
      <c r="L575" s="1064"/>
      <c r="O575" s="42" t="s">
        <v>818</v>
      </c>
      <c r="P575" s="1066"/>
      <c r="Q575" s="1066"/>
      <c r="R575" s="1066"/>
      <c r="S575" s="14"/>
      <c r="T575" s="4"/>
      <c r="U575" t="s">
        <v>650</v>
      </c>
      <c r="Z575" s="1064" t="s">
        <v>2395</v>
      </c>
      <c r="AA575" s="1064"/>
      <c r="AB575" s="1064"/>
      <c r="AC575" s="1064"/>
      <c r="AD575" s="1064"/>
      <c r="AE575" s="1064"/>
      <c r="AH575" s="42" t="s">
        <v>818</v>
      </c>
      <c r="AI575" s="1066"/>
      <c r="AJ575" s="1066"/>
      <c r="AK575" s="106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063" t="s">
        <v>2454</v>
      </c>
      <c r="I576" s="1063"/>
      <c r="J576" s="1063"/>
      <c r="K576" s="1063"/>
      <c r="L576" s="1063"/>
      <c r="M576" s="1063"/>
      <c r="N576" s="1063"/>
      <c r="O576" s="1063"/>
      <c r="P576" s="1063"/>
      <c r="Q576" s="1063"/>
      <c r="R576" s="1063"/>
      <c r="S576" s="12"/>
      <c r="T576" s="4"/>
      <c r="U576" t="s">
        <v>834</v>
      </c>
      <c r="AA576" s="1063" t="s">
        <v>2456</v>
      </c>
      <c r="AB576" s="1063"/>
      <c r="AC576" s="1063"/>
      <c r="AD576" s="1063"/>
      <c r="AE576" s="1063"/>
      <c r="AF576" s="1063"/>
      <c r="AG576" s="1063"/>
      <c r="AH576" s="1063"/>
      <c r="AI576" s="1063"/>
      <c r="AJ576" s="1063"/>
      <c r="AK576" s="106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49" t="s">
        <v>108</v>
      </c>
      <c r="O577" s="1149"/>
      <c r="T577" s="4"/>
      <c r="U577" t="s">
        <v>836</v>
      </c>
      <c r="AG577" s="1149" t="s">
        <v>108</v>
      </c>
      <c r="AH577" s="114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306">
        <f>C559</f>
        <v>0</v>
      </c>
      <c r="H579" s="1306"/>
      <c r="I579" s="1306"/>
      <c r="J579" s="1306"/>
      <c r="K579" s="1306"/>
      <c r="L579" s="1306"/>
      <c r="M579" s="1306"/>
      <c r="N579" s="1306"/>
      <c r="O579" s="1306"/>
      <c r="P579" s="1306"/>
      <c r="Q579" s="1306"/>
      <c r="R579" s="1306"/>
      <c r="T579" s="61" t="s">
        <v>431</v>
      </c>
      <c r="U579" t="s">
        <v>82</v>
      </c>
      <c r="Z579" s="1306">
        <f>C560</f>
        <v>0</v>
      </c>
      <c r="AA579" s="1306"/>
      <c r="AB579" s="1306"/>
      <c r="AC579" s="1306"/>
      <c r="AD579" s="1306"/>
      <c r="AE579" s="1306"/>
      <c r="AF579" s="1306"/>
      <c r="AG579" s="1306"/>
      <c r="AH579" s="1306"/>
      <c r="AI579" s="1306"/>
      <c r="AJ579" s="1306"/>
      <c r="AK579" s="130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58"/>
      <c r="H580" s="1158"/>
      <c r="I580" s="1158"/>
      <c r="J580" s="1158"/>
      <c r="K580" s="1158"/>
      <c r="L580" s="1158"/>
      <c r="M580" s="1158"/>
      <c r="N580" s="1158"/>
      <c r="O580" s="1158"/>
      <c r="P580" s="1158"/>
      <c r="Q580" s="1158"/>
      <c r="R580" s="1158"/>
      <c r="T580" s="4"/>
      <c r="U580" t="s">
        <v>372</v>
      </c>
      <c r="Z580" s="1158"/>
      <c r="AA580" s="1158"/>
      <c r="AB580" s="1158"/>
      <c r="AC580" s="1158"/>
      <c r="AD580" s="1158"/>
      <c r="AE580" s="1158"/>
      <c r="AF580" s="1158"/>
      <c r="AG580" s="1158"/>
      <c r="AH580" s="1158"/>
      <c r="AI580" s="1158"/>
      <c r="AJ580" s="1158"/>
      <c r="AK580" s="115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65"/>
      <c r="H581" s="1065"/>
      <c r="I581" s="1065"/>
      <c r="J581" s="1065"/>
      <c r="K581" s="1065"/>
      <c r="L581" s="1065"/>
      <c r="M581" s="1065"/>
      <c r="N581" s="1065"/>
      <c r="O581" s="1065"/>
      <c r="P581" s="1065"/>
      <c r="Q581" s="1065"/>
      <c r="R581" s="1065"/>
      <c r="T581" s="4"/>
      <c r="U581" t="s">
        <v>430</v>
      </c>
      <c r="Z581" s="1065"/>
      <c r="AA581" s="1065"/>
      <c r="AB581" s="1065"/>
      <c r="AC581" s="1065"/>
      <c r="AD581" s="1065"/>
      <c r="AE581" s="1065"/>
      <c r="AF581" s="1065"/>
      <c r="AG581" s="1065"/>
      <c r="AH581" s="1065"/>
      <c r="AI581" s="1065"/>
      <c r="AJ581" s="1065"/>
      <c r="AK581" s="10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065"/>
      <c r="H582" s="1065"/>
      <c r="I582" s="1065"/>
      <c r="J582" s="1065"/>
      <c r="K582" s="1065"/>
      <c r="L582" s="1065"/>
      <c r="M582" s="1065"/>
      <c r="N582" s="1065"/>
      <c r="O582" s="1065"/>
      <c r="P582" s="1065"/>
      <c r="Q582" s="1065"/>
      <c r="R582" s="1065"/>
      <c r="T582" s="4"/>
      <c r="U582" t="s">
        <v>833</v>
      </c>
      <c r="Z582" s="1065"/>
      <c r="AA582" s="1065"/>
      <c r="AB582" s="1065"/>
      <c r="AC582" s="1065"/>
      <c r="AD582" s="1065"/>
      <c r="AE582" s="1065"/>
      <c r="AF582" s="1065"/>
      <c r="AG582" s="1065"/>
      <c r="AH582" s="1065"/>
      <c r="AI582" s="1065"/>
      <c r="AJ582" s="1065"/>
      <c r="AK582" s="10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307"/>
      <c r="H583" s="1307"/>
      <c r="I583" s="1307"/>
      <c r="J583" s="1307"/>
      <c r="K583" s="1307"/>
      <c r="L583" s="1307"/>
      <c r="O583" s="42" t="s">
        <v>818</v>
      </c>
      <c r="P583" s="1066"/>
      <c r="Q583" s="1066"/>
      <c r="R583" s="1066"/>
      <c r="T583" s="4"/>
      <c r="U583" t="s">
        <v>650</v>
      </c>
      <c r="Z583" s="1307"/>
      <c r="AA583" s="1307"/>
      <c r="AB583" s="1307"/>
      <c r="AC583" s="1307"/>
      <c r="AD583" s="1307"/>
      <c r="AE583" s="1307"/>
      <c r="AH583" s="42" t="s">
        <v>818</v>
      </c>
      <c r="AI583" s="1066"/>
      <c r="AJ583" s="1066"/>
      <c r="AK583" s="106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58"/>
      <c r="I584" s="1158"/>
      <c r="J584" s="1158"/>
      <c r="K584" s="1158"/>
      <c r="L584" s="1158"/>
      <c r="M584" s="1158"/>
      <c r="N584" s="1158"/>
      <c r="O584" s="1158"/>
      <c r="P584" s="1158"/>
      <c r="Q584" s="1158"/>
      <c r="R584" s="1158"/>
      <c r="T584" s="4"/>
      <c r="U584" t="s">
        <v>834</v>
      </c>
      <c r="AA584" s="1158"/>
      <c r="AB584" s="1158"/>
      <c r="AC584" s="1158"/>
      <c r="AD584" s="1158"/>
      <c r="AE584" s="1158"/>
      <c r="AF584" s="1158"/>
      <c r="AG584" s="1158"/>
      <c r="AH584" s="1158"/>
      <c r="AI584" s="1158"/>
      <c r="AJ584" s="1158"/>
      <c r="AK584" s="115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22" t="s">
        <v>482</v>
      </c>
      <c r="O585" s="1122"/>
      <c r="T585" s="4"/>
      <c r="U585" t="s">
        <v>836</v>
      </c>
      <c r="AG585" s="1122" t="s">
        <v>482</v>
      </c>
      <c r="AH585" s="112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306">
        <f>C561</f>
        <v>0</v>
      </c>
      <c r="H587" s="1306"/>
      <c r="I587" s="1306"/>
      <c r="J587" s="1306"/>
      <c r="K587" s="1306"/>
      <c r="L587" s="1306"/>
      <c r="M587" s="1306"/>
      <c r="N587" s="1306"/>
      <c r="O587" s="1306"/>
      <c r="P587" s="1306"/>
      <c r="Q587" s="1306"/>
      <c r="R587" s="1306"/>
      <c r="T587" s="61" t="s">
        <v>434</v>
      </c>
      <c r="U587" t="s">
        <v>82</v>
      </c>
      <c r="Z587" s="1306">
        <f>C562</f>
        <v>0</v>
      </c>
      <c r="AA587" s="1306"/>
      <c r="AB587" s="1306"/>
      <c r="AC587" s="1306"/>
      <c r="AD587" s="1306"/>
      <c r="AE587" s="1306"/>
      <c r="AF587" s="1306"/>
      <c r="AG587" s="1306"/>
      <c r="AH587" s="1306"/>
      <c r="AI587" s="1306"/>
      <c r="AJ587" s="1306"/>
      <c r="AK587" s="130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58"/>
      <c r="H588" s="1158"/>
      <c r="I588" s="1158"/>
      <c r="J588" s="1158"/>
      <c r="K588" s="1158"/>
      <c r="L588" s="1158"/>
      <c r="M588" s="1158"/>
      <c r="N588" s="1158"/>
      <c r="O588" s="1158"/>
      <c r="P588" s="1158"/>
      <c r="Q588" s="1158"/>
      <c r="R588" s="1158"/>
      <c r="T588" s="4"/>
      <c r="U588" t="s">
        <v>372</v>
      </c>
      <c r="Z588" s="1158"/>
      <c r="AA588" s="1158"/>
      <c r="AB588" s="1158"/>
      <c r="AC588" s="1158"/>
      <c r="AD588" s="1158"/>
      <c r="AE588" s="1158"/>
      <c r="AF588" s="1158"/>
      <c r="AG588" s="1158"/>
      <c r="AH588" s="1158"/>
      <c r="AI588" s="1158"/>
      <c r="AJ588" s="1158"/>
      <c r="AK588" s="115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58"/>
      <c r="H589" s="1158"/>
      <c r="I589" s="1158"/>
      <c r="J589" s="1158"/>
      <c r="K589" s="1158"/>
      <c r="L589" s="1158"/>
      <c r="M589" s="1158"/>
      <c r="N589" s="1158"/>
      <c r="O589" s="1158"/>
      <c r="P589" s="1158"/>
      <c r="Q589" s="1158"/>
      <c r="R589" s="1158"/>
      <c r="T589" s="4"/>
      <c r="U589" t="s">
        <v>430</v>
      </c>
      <c r="Z589" s="1065"/>
      <c r="AA589" s="1065"/>
      <c r="AB589" s="1065"/>
      <c r="AC589" s="1065"/>
      <c r="AD589" s="1065"/>
      <c r="AE589" s="1065"/>
      <c r="AF589" s="1065"/>
      <c r="AG589" s="1065"/>
      <c r="AH589" s="1065"/>
      <c r="AI589" s="1065"/>
      <c r="AJ589" s="1065"/>
      <c r="AK589" s="10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58"/>
      <c r="H590" s="1158"/>
      <c r="I590" s="1158"/>
      <c r="J590" s="1158"/>
      <c r="K590" s="1158"/>
      <c r="L590" s="1158"/>
      <c r="M590" s="1158"/>
      <c r="N590" s="1158"/>
      <c r="O590" s="1158"/>
      <c r="P590" s="1158"/>
      <c r="Q590" s="1158"/>
      <c r="R590" s="1158"/>
      <c r="T590" s="4"/>
      <c r="U590" t="s">
        <v>833</v>
      </c>
      <c r="Z590" s="1065"/>
      <c r="AA590" s="1065"/>
      <c r="AB590" s="1065"/>
      <c r="AC590" s="1065"/>
      <c r="AD590" s="1065"/>
      <c r="AE590" s="1065"/>
      <c r="AF590" s="1065"/>
      <c r="AG590" s="1065"/>
      <c r="AH590" s="1065"/>
      <c r="AI590" s="1065"/>
      <c r="AJ590" s="1065"/>
      <c r="AK590" s="10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307"/>
      <c r="H591" s="1307"/>
      <c r="I591" s="1307"/>
      <c r="J591" s="1307"/>
      <c r="K591" s="1307"/>
      <c r="L591" s="1307"/>
      <c r="O591" s="42" t="s">
        <v>818</v>
      </c>
      <c r="P591" s="1066"/>
      <c r="Q591" s="1066"/>
      <c r="R591" s="1066"/>
      <c r="T591" s="4"/>
      <c r="U591" t="s">
        <v>650</v>
      </c>
      <c r="Z591" s="1307"/>
      <c r="AA591" s="1307"/>
      <c r="AB591" s="1307"/>
      <c r="AC591" s="1307"/>
      <c r="AD591" s="1307"/>
      <c r="AE591" s="1307"/>
      <c r="AH591" s="42" t="s">
        <v>818</v>
      </c>
      <c r="AI591" s="1066"/>
      <c r="AJ591" s="1066"/>
      <c r="AK591" s="106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58"/>
      <c r="I592" s="1158"/>
      <c r="J592" s="1158"/>
      <c r="K592" s="1158"/>
      <c r="L592" s="1158"/>
      <c r="M592" s="1158"/>
      <c r="N592" s="1158"/>
      <c r="O592" s="1158"/>
      <c r="P592" s="1158"/>
      <c r="Q592" s="1158"/>
      <c r="R592" s="1158"/>
      <c r="T592" s="4"/>
      <c r="U592" t="s">
        <v>834</v>
      </c>
      <c r="AA592" s="1158"/>
      <c r="AB592" s="1158"/>
      <c r="AC592" s="1158"/>
      <c r="AD592" s="1158"/>
      <c r="AE592" s="1158"/>
      <c r="AF592" s="1158"/>
      <c r="AG592" s="1158"/>
      <c r="AH592" s="1158"/>
      <c r="AI592" s="1158"/>
      <c r="AJ592" s="1158"/>
      <c r="AK592" s="115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22" t="s">
        <v>482</v>
      </c>
      <c r="O593" s="1122"/>
      <c r="T593" s="4"/>
      <c r="U593" t="s">
        <v>836</v>
      </c>
      <c r="AG593" s="1122" t="s">
        <v>482</v>
      </c>
      <c r="AH593" s="112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306">
        <f>C563</f>
        <v>0</v>
      </c>
      <c r="H595" s="1306"/>
      <c r="I595" s="1306"/>
      <c r="J595" s="1306"/>
      <c r="K595" s="1306"/>
      <c r="L595" s="1306"/>
      <c r="M595" s="1306"/>
      <c r="N595" s="1306"/>
      <c r="O595" s="1306"/>
      <c r="P595" s="1306"/>
      <c r="Q595" s="1306"/>
      <c r="R595" s="1306"/>
      <c r="T595" s="61" t="s">
        <v>743</v>
      </c>
      <c r="U595" t="s">
        <v>82</v>
      </c>
      <c r="Z595" s="1306">
        <f>C564</f>
        <v>0</v>
      </c>
      <c r="AA595" s="1306"/>
      <c r="AB595" s="1306"/>
      <c r="AC595" s="1306"/>
      <c r="AD595" s="1306"/>
      <c r="AE595" s="1306"/>
      <c r="AF595" s="1306"/>
      <c r="AG595" s="1306"/>
      <c r="AH595" s="1306"/>
      <c r="AI595" s="1306"/>
      <c r="AJ595" s="1306"/>
      <c r="AK595" s="1306"/>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58"/>
      <c r="H596" s="1158"/>
      <c r="I596" s="1158"/>
      <c r="J596" s="1158"/>
      <c r="K596" s="1158"/>
      <c r="L596" s="1158"/>
      <c r="M596" s="1158"/>
      <c r="N596" s="1158"/>
      <c r="O596" s="1158"/>
      <c r="P596" s="1158"/>
      <c r="Q596" s="1158"/>
      <c r="R596" s="1158"/>
      <c r="T596" s="4"/>
      <c r="U596" t="s">
        <v>372</v>
      </c>
      <c r="Z596" s="1158"/>
      <c r="AA596" s="1158"/>
      <c r="AB596" s="1158"/>
      <c r="AC596" s="1158"/>
      <c r="AD596" s="1158"/>
      <c r="AE596" s="1158"/>
      <c r="AF596" s="1158"/>
      <c r="AG596" s="1158"/>
      <c r="AH596" s="1158"/>
      <c r="AI596" s="1158"/>
      <c r="AJ596" s="1158"/>
      <c r="AK596" s="115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58"/>
      <c r="H597" s="1158"/>
      <c r="I597" s="1158"/>
      <c r="J597" s="1158"/>
      <c r="K597" s="1158"/>
      <c r="L597" s="1158"/>
      <c r="M597" s="1158"/>
      <c r="N597" s="1158"/>
      <c r="O597" s="1158"/>
      <c r="P597" s="1158"/>
      <c r="Q597" s="1158"/>
      <c r="R597" s="1158"/>
      <c r="S597"/>
      <c r="T597" s="4"/>
      <c r="U597" t="s">
        <v>430</v>
      </c>
      <c r="V597"/>
      <c r="W597"/>
      <c r="X597"/>
      <c r="Y597"/>
      <c r="Z597" s="1065"/>
      <c r="AA597" s="1065"/>
      <c r="AB597" s="1065"/>
      <c r="AC597" s="1065"/>
      <c r="AD597" s="1065"/>
      <c r="AE597" s="1065"/>
      <c r="AF597" s="1065"/>
      <c r="AG597" s="1065"/>
      <c r="AH597" s="1065"/>
      <c r="AI597" s="1065"/>
      <c r="AJ597" s="1065"/>
      <c r="AK597" s="10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158"/>
      <c r="H598" s="1158"/>
      <c r="I598" s="1158"/>
      <c r="J598" s="1158"/>
      <c r="K598" s="1158"/>
      <c r="L598" s="1158"/>
      <c r="M598" s="1158"/>
      <c r="N598" s="1158"/>
      <c r="O598" s="1158"/>
      <c r="P598" s="1158"/>
      <c r="Q598" s="1158"/>
      <c r="R598" s="1158"/>
      <c r="S598"/>
      <c r="T598" s="4"/>
      <c r="U598" t="s">
        <v>833</v>
      </c>
      <c r="V598"/>
      <c r="W598"/>
      <c r="X598"/>
      <c r="Y598"/>
      <c r="Z598" s="1065"/>
      <c r="AA598" s="1065"/>
      <c r="AB598" s="1065"/>
      <c r="AC598" s="1065"/>
      <c r="AD598" s="1065"/>
      <c r="AE598" s="1065"/>
      <c r="AF598" s="1065"/>
      <c r="AG598" s="1065"/>
      <c r="AH598" s="1065"/>
      <c r="AI598" s="1065"/>
      <c r="AJ598" s="1065"/>
      <c r="AK598" s="1065"/>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307"/>
      <c r="H599" s="1307"/>
      <c r="I599" s="1307"/>
      <c r="J599" s="1307"/>
      <c r="K599" s="1307"/>
      <c r="L599" s="1307"/>
      <c r="M599"/>
      <c r="N599"/>
      <c r="O599" s="42" t="s">
        <v>818</v>
      </c>
      <c r="P599" s="1066"/>
      <c r="Q599" s="1066"/>
      <c r="R599" s="1066"/>
      <c r="S599"/>
      <c r="T599" s="4"/>
      <c r="U599" t="s">
        <v>650</v>
      </c>
      <c r="V599"/>
      <c r="W599"/>
      <c r="X599"/>
      <c r="Y599"/>
      <c r="Z599" s="1307"/>
      <c r="AA599" s="1307"/>
      <c r="AB599" s="1307"/>
      <c r="AC599" s="1307"/>
      <c r="AD599" s="1307"/>
      <c r="AE599" s="1307"/>
      <c r="AF599"/>
      <c r="AG599"/>
      <c r="AH599" s="42" t="s">
        <v>818</v>
      </c>
      <c r="AI599" s="1066"/>
      <c r="AJ599" s="1066"/>
      <c r="AK599" s="1066"/>
      <c r="AL599"/>
      <c r="AZ599" s="5" t="s">
        <v>441</v>
      </c>
      <c r="BA599" s="41"/>
      <c r="BB599" s="41"/>
      <c r="BC599" s="41"/>
      <c r="BD599" s="41"/>
      <c r="BE599" s="212" t="s">
        <v>351</v>
      </c>
      <c r="BF599" s="213"/>
      <c r="BG599" s="1308"/>
      <c r="BH599" s="1310"/>
      <c r="BI599" s="212" t="s">
        <v>352</v>
      </c>
      <c r="BJ599" s="213"/>
      <c r="BK599" s="1308"/>
      <c r="BL599" s="1310"/>
      <c r="BN599" s="1308">
        <f>IF(B703="SRO/Studio",G703,0)</f>
        <v>0</v>
      </c>
      <c r="BO599" s="1309"/>
      <c r="BP599" s="1309"/>
      <c r="BQ599" s="1309"/>
      <c r="BR599" s="1319"/>
      <c r="BS599" s="1308">
        <f>IF(B703="1 Bedroom",G703,0)</f>
        <v>5</v>
      </c>
      <c r="BT599" s="1309"/>
      <c r="BU599" s="1309"/>
      <c r="BV599" s="1309"/>
      <c r="BW599" s="1310"/>
      <c r="BX599" s="1308">
        <f>IF(B703="2 Bedrooms",G703,0)</f>
        <v>0</v>
      </c>
      <c r="BY599" s="1309"/>
      <c r="BZ599" s="1309"/>
      <c r="CA599" s="1309"/>
      <c r="CB599" s="1310"/>
      <c r="CC599" s="1308">
        <f>IF(B703="3 Bedrooms",G703,0)</f>
        <v>0</v>
      </c>
      <c r="CD599" s="1309"/>
      <c r="CE599" s="1309"/>
      <c r="CF599" s="1309"/>
      <c r="CG599" s="1310"/>
      <c r="CH599" s="1308">
        <f>IF(B703="4 Bedrooms",G703,0)</f>
        <v>0</v>
      </c>
      <c r="CI599" s="1309"/>
      <c r="CJ599" s="1309"/>
      <c r="CK599" s="1309"/>
      <c r="CL599" s="1310"/>
      <c r="CM599" s="1317">
        <f>IF(B703="5 Bedrooms",G703,0)</f>
        <v>0</v>
      </c>
      <c r="CN599" s="1318"/>
      <c r="CO599" s="1318"/>
      <c r="CP599" s="1318"/>
      <c r="CQ599" s="1319"/>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158"/>
      <c r="I600" s="1158"/>
      <c r="J600" s="1158"/>
      <c r="K600" s="1158"/>
      <c r="L600" s="1158"/>
      <c r="M600" s="1158"/>
      <c r="N600" s="1158"/>
      <c r="O600" s="1158"/>
      <c r="P600" s="1158"/>
      <c r="Q600" s="1158"/>
      <c r="R600" s="1158"/>
      <c r="S600"/>
      <c r="T600" s="4"/>
      <c r="U600" t="s">
        <v>834</v>
      </c>
      <c r="V600"/>
      <c r="W600"/>
      <c r="X600"/>
      <c r="Y600"/>
      <c r="Z600"/>
      <c r="AA600" s="1158"/>
      <c r="AB600" s="1158"/>
      <c r="AC600" s="1158"/>
      <c r="AD600" s="1158"/>
      <c r="AE600" s="1158"/>
      <c r="AF600" s="1158"/>
      <c r="AG600" s="1158"/>
      <c r="AH600" s="1158"/>
      <c r="AI600" s="1158"/>
      <c r="AJ600" s="1158"/>
      <c r="AK600" s="1158"/>
      <c r="AL600"/>
      <c r="AZ600" s="5" t="s">
        <v>442</v>
      </c>
      <c r="BA600" s="41"/>
      <c r="BB600" s="41"/>
      <c r="BC600" s="41"/>
      <c r="BD600" s="41"/>
      <c r="BE600" s="1314">
        <f>IF(AND(AH703&lt;=0.5,AH703&gt;=0.36),1,0)</f>
        <v>0</v>
      </c>
      <c r="BF600" s="1316"/>
      <c r="BG600" s="1308">
        <f t="shared" ref="BG600:BG623" si="1">IF(BE600=1,G703,0)</f>
        <v>0</v>
      </c>
      <c r="BH600" s="1310"/>
      <c r="BI600" s="1314">
        <f>IF(AND(AH703&lt;=0.35,AH703&gt;0),1,0)</f>
        <v>1</v>
      </c>
      <c r="BJ600" s="1316"/>
      <c r="BK600" s="1308">
        <f t="shared" ref="BK600:BK623" si="2">IF(BI600=1,G703,0)</f>
        <v>5</v>
      </c>
      <c r="BL600" s="1310"/>
      <c r="BN600" s="1308">
        <f t="shared" ref="BN600:BN633" si="3">IF(B704="SRO/Studio",G704,0)</f>
        <v>0</v>
      </c>
      <c r="BO600" s="1309"/>
      <c r="BP600" s="1309"/>
      <c r="BQ600" s="1309"/>
      <c r="BR600" s="1319"/>
      <c r="BS600" s="1308">
        <f t="shared" ref="BS600:BS633" si="4">IF(B704="1 Bedroom",G704,0)</f>
        <v>3</v>
      </c>
      <c r="BT600" s="1309"/>
      <c r="BU600" s="1309"/>
      <c r="BV600" s="1309"/>
      <c r="BW600" s="1310"/>
      <c r="BX600" s="1308">
        <f t="shared" ref="BX600:BX633" si="5">IF(B704="2 Bedrooms",G704,0)</f>
        <v>0</v>
      </c>
      <c r="BY600" s="1309"/>
      <c r="BZ600" s="1309"/>
      <c r="CA600" s="1309"/>
      <c r="CB600" s="1310"/>
      <c r="CC600" s="1308">
        <f t="shared" ref="CC600:CC633" si="6">IF(B704="3 Bedrooms",G704,0)</f>
        <v>0</v>
      </c>
      <c r="CD600" s="1309"/>
      <c r="CE600" s="1309"/>
      <c r="CF600" s="1309"/>
      <c r="CG600" s="1310"/>
      <c r="CH600" s="1308">
        <f t="shared" ref="CH600:CH633" si="7">IF(B704="4 Bedrooms",G704,0)</f>
        <v>0</v>
      </c>
      <c r="CI600" s="1309"/>
      <c r="CJ600" s="1309"/>
      <c r="CK600" s="1309"/>
      <c r="CL600" s="1310"/>
      <c r="CM600" s="1317">
        <f t="shared" ref="CM600:CM633" si="8">IF(B704="5 Bedrooms",G704,0)</f>
        <v>0</v>
      </c>
      <c r="CN600" s="1318"/>
      <c r="CO600" s="1318"/>
      <c r="CP600" s="1318"/>
      <c r="CQ600" s="1319"/>
      <c r="CS600" s="1320">
        <f>IF(AND(B703="SRO/Studio",AH703&lt;=0.3),G703,0)</f>
        <v>0</v>
      </c>
      <c r="CT600" s="1321"/>
      <c r="CU600" s="1321"/>
      <c r="CV600" s="1321"/>
      <c r="CW600" s="1322"/>
      <c r="CX600" s="1320">
        <f>IF(AND(B703="1 Bedroom",AH703&lt;=0.3),G703,0)</f>
        <v>5</v>
      </c>
      <c r="CY600" s="1321"/>
      <c r="CZ600" s="1321"/>
      <c r="DA600" s="1321"/>
      <c r="DB600" s="1322"/>
      <c r="DC600" s="1320">
        <f>IF(AND(B703="2 Bedrooms",AH703&lt;=0.3),G703,0)</f>
        <v>0</v>
      </c>
      <c r="DD600" s="1321"/>
      <c r="DE600" s="1321"/>
      <c r="DF600" s="1321"/>
      <c r="DG600" s="1322"/>
      <c r="DH600" s="1320">
        <f>IF(AND(B703="3 Bedrooms",AH703&lt;=0.3),G703,0)</f>
        <v>0</v>
      </c>
      <c r="DI600" s="1321"/>
      <c r="DJ600" s="1321"/>
      <c r="DK600" s="1321"/>
      <c r="DL600" s="1322"/>
      <c r="DM600" s="1320">
        <f>IF(AND(B703="4 Bedrooms",AH703&lt;=0.3),G703,0)</f>
        <v>0</v>
      </c>
      <c r="DN600" s="1321"/>
      <c r="DO600" s="1321"/>
      <c r="DP600" s="1321"/>
      <c r="DQ600" s="1322"/>
      <c r="DR600" s="1320">
        <f>IF(AND(B703="5 Bedrooms",AH703&lt;=0.3),G703,0)</f>
        <v>0</v>
      </c>
      <c r="DS600" s="1321"/>
      <c r="DT600" s="1321"/>
      <c r="DU600" s="1321"/>
      <c r="DV600" s="1322"/>
    </row>
    <row r="601" spans="1:126" s="5" customFormat="1" ht="12.95" customHeight="1">
      <c r="A601" s="4"/>
      <c r="B601" t="s">
        <v>836</v>
      </c>
      <c r="C601"/>
      <c r="D601"/>
      <c r="E601"/>
      <c r="F601"/>
      <c r="G601"/>
      <c r="H601"/>
      <c r="I601"/>
      <c r="J601"/>
      <c r="K601"/>
      <c r="L601"/>
      <c r="M601"/>
      <c r="N601" s="1122" t="s">
        <v>482</v>
      </c>
      <c r="O601" s="1122"/>
      <c r="P601"/>
      <c r="Q601"/>
      <c r="R601"/>
      <c r="S601"/>
      <c r="T601" s="4"/>
      <c r="U601" t="s">
        <v>836</v>
      </c>
      <c r="V601"/>
      <c r="W601"/>
      <c r="X601"/>
      <c r="Y601"/>
      <c r="Z601"/>
      <c r="AA601"/>
      <c r="AB601"/>
      <c r="AC601"/>
      <c r="AD601"/>
      <c r="AE601"/>
      <c r="AF601"/>
      <c r="AG601" s="1122" t="s">
        <v>482</v>
      </c>
      <c r="AH601" s="1122"/>
      <c r="AI601"/>
      <c r="AJ601"/>
      <c r="AK601"/>
      <c r="AL601"/>
      <c r="AZ601" s="5" t="s">
        <v>780</v>
      </c>
      <c r="BA601" s="41"/>
      <c r="BB601" s="41"/>
      <c r="BC601" s="41"/>
      <c r="BD601" s="41"/>
      <c r="BE601" s="1314">
        <f t="shared" ref="BE601:BE623" si="9">IF(AND(AH704&lt;=0.5,AH704&gt;=0.36),1,0)</f>
        <v>1</v>
      </c>
      <c r="BF601" s="1316"/>
      <c r="BG601" s="1308">
        <f t="shared" si="1"/>
        <v>3</v>
      </c>
      <c r="BH601" s="1310"/>
      <c r="BI601" s="1314">
        <f t="shared" ref="BI601:BI623" si="10">IF(AND(AH704&lt;=0.35,AH704&gt;0),1,0)</f>
        <v>0</v>
      </c>
      <c r="BJ601" s="1316"/>
      <c r="BK601" s="1308">
        <f t="shared" si="2"/>
        <v>0</v>
      </c>
      <c r="BL601" s="1310"/>
      <c r="BN601" s="1308">
        <f t="shared" si="3"/>
        <v>0</v>
      </c>
      <c r="BO601" s="1309"/>
      <c r="BP601" s="1309"/>
      <c r="BQ601" s="1309"/>
      <c r="BR601" s="1319"/>
      <c r="BS601" s="1308">
        <f t="shared" si="4"/>
        <v>5</v>
      </c>
      <c r="BT601" s="1309"/>
      <c r="BU601" s="1309"/>
      <c r="BV601" s="1309"/>
      <c r="BW601" s="1310"/>
      <c r="BX601" s="1308">
        <f t="shared" si="5"/>
        <v>0</v>
      </c>
      <c r="BY601" s="1309"/>
      <c r="BZ601" s="1309"/>
      <c r="CA601" s="1309"/>
      <c r="CB601" s="1310"/>
      <c r="CC601" s="1308">
        <f t="shared" si="6"/>
        <v>0</v>
      </c>
      <c r="CD601" s="1309"/>
      <c r="CE601" s="1309"/>
      <c r="CF601" s="1309"/>
      <c r="CG601" s="1310"/>
      <c r="CH601" s="1308">
        <f t="shared" si="7"/>
        <v>0</v>
      </c>
      <c r="CI601" s="1309"/>
      <c r="CJ601" s="1309"/>
      <c r="CK601" s="1309"/>
      <c r="CL601" s="1310"/>
      <c r="CM601" s="1317">
        <f t="shared" si="8"/>
        <v>0</v>
      </c>
      <c r="CN601" s="1318"/>
      <c r="CO601" s="1318"/>
      <c r="CP601" s="1318"/>
      <c r="CQ601" s="1319"/>
      <c r="CS601" s="1320">
        <f t="shared" ref="CS601:CS623" si="11">IF(AND(B704="SRO/Studio",AH704&lt;=0.3),G704,0)</f>
        <v>0</v>
      </c>
      <c r="CT601" s="1321"/>
      <c r="CU601" s="1321"/>
      <c r="CV601" s="1321"/>
      <c r="CW601" s="1322"/>
      <c r="CX601" s="1320">
        <f t="shared" ref="CX601:CX623" si="12">IF(AND(B704="1 Bedroom",AH704&lt;=0.3),G704,0)</f>
        <v>0</v>
      </c>
      <c r="CY601" s="1321"/>
      <c r="CZ601" s="1321"/>
      <c r="DA601" s="1321"/>
      <c r="DB601" s="1322"/>
      <c r="DC601" s="1320">
        <f t="shared" ref="DC601:DC623" si="13">IF(AND(B704="2 Bedrooms",AH704&lt;=0.3),G704,0)</f>
        <v>0</v>
      </c>
      <c r="DD601" s="1321"/>
      <c r="DE601" s="1321"/>
      <c r="DF601" s="1321"/>
      <c r="DG601" s="1322"/>
      <c r="DH601" s="1320">
        <f t="shared" ref="DH601:DH623" si="14">IF(AND(B704="3 Bedrooms",AH704&lt;=0.3),G704,0)</f>
        <v>0</v>
      </c>
      <c r="DI601" s="1321"/>
      <c r="DJ601" s="1321"/>
      <c r="DK601" s="1321"/>
      <c r="DL601" s="1322"/>
      <c r="DM601" s="1320">
        <f t="shared" ref="DM601:DM623" si="15">IF(AND(B704="4 Bedrooms",AH704&lt;=0.3),G704,0)</f>
        <v>0</v>
      </c>
      <c r="DN601" s="1321"/>
      <c r="DO601" s="1321"/>
      <c r="DP601" s="1321"/>
      <c r="DQ601" s="1322"/>
      <c r="DR601" s="1320">
        <f t="shared" ref="DR601:DR623" si="16">IF(AND(B704="5 Bedrooms",AH704&lt;=0.3),G704,0)</f>
        <v>0</v>
      </c>
      <c r="DS601" s="1321"/>
      <c r="DT601" s="1321"/>
      <c r="DU601" s="1321"/>
      <c r="DV601" s="1322"/>
    </row>
    <row r="602" spans="1:126" ht="12.95" customHeight="1">
      <c r="C602"/>
      <c r="AZ602" s="5" t="s">
        <v>781</v>
      </c>
      <c r="BA602" s="41"/>
      <c r="BB602" s="41"/>
      <c r="BC602" s="41"/>
      <c r="BD602" s="41"/>
      <c r="BE602" s="1314">
        <f t="shared" si="9"/>
        <v>1</v>
      </c>
      <c r="BF602" s="1316"/>
      <c r="BG602" s="1308">
        <f t="shared" si="1"/>
        <v>5</v>
      </c>
      <c r="BH602" s="1310"/>
      <c r="BI602" s="1314">
        <f t="shared" si="10"/>
        <v>0</v>
      </c>
      <c r="BJ602" s="1316"/>
      <c r="BK602" s="1308">
        <f t="shared" si="2"/>
        <v>0</v>
      </c>
      <c r="BL602" s="1310"/>
      <c r="BN602" s="1308">
        <f t="shared" si="3"/>
        <v>0</v>
      </c>
      <c r="BO602" s="1309"/>
      <c r="BP602" s="1309"/>
      <c r="BQ602" s="1309"/>
      <c r="BR602" s="1319"/>
      <c r="BS602" s="1308">
        <f t="shared" si="4"/>
        <v>0</v>
      </c>
      <c r="BT602" s="1309"/>
      <c r="BU602" s="1309"/>
      <c r="BV602" s="1309"/>
      <c r="BW602" s="1310"/>
      <c r="BX602" s="1308">
        <f t="shared" si="5"/>
        <v>6</v>
      </c>
      <c r="BY602" s="1309"/>
      <c r="BZ602" s="1309"/>
      <c r="CA602" s="1309"/>
      <c r="CB602" s="1310"/>
      <c r="CC602" s="1308">
        <f t="shared" si="6"/>
        <v>0</v>
      </c>
      <c r="CD602" s="1309"/>
      <c r="CE602" s="1309"/>
      <c r="CF602" s="1309"/>
      <c r="CG602" s="1310"/>
      <c r="CH602" s="1308">
        <f t="shared" si="7"/>
        <v>0</v>
      </c>
      <c r="CI602" s="1309"/>
      <c r="CJ602" s="1309"/>
      <c r="CK602" s="1309"/>
      <c r="CL602" s="1310"/>
      <c r="CM602" s="1317">
        <f t="shared" si="8"/>
        <v>0</v>
      </c>
      <c r="CN602" s="1318"/>
      <c r="CO602" s="1318"/>
      <c r="CP602" s="1318"/>
      <c r="CQ602" s="1319"/>
      <c r="CS602" s="1320">
        <f t="shared" si="11"/>
        <v>0</v>
      </c>
      <c r="CT602" s="1321"/>
      <c r="CU602" s="1321"/>
      <c r="CV602" s="1321"/>
      <c r="CW602" s="1322"/>
      <c r="CX602" s="1320">
        <f t="shared" si="12"/>
        <v>0</v>
      </c>
      <c r="CY602" s="1321"/>
      <c r="CZ602" s="1321"/>
      <c r="DA602" s="1321"/>
      <c r="DB602" s="1322"/>
      <c r="DC602" s="1320">
        <f t="shared" si="13"/>
        <v>0</v>
      </c>
      <c r="DD602" s="1321"/>
      <c r="DE602" s="1321"/>
      <c r="DF602" s="1321"/>
      <c r="DG602" s="1322"/>
      <c r="DH602" s="1320">
        <f t="shared" si="14"/>
        <v>0</v>
      </c>
      <c r="DI602" s="1321"/>
      <c r="DJ602" s="1321"/>
      <c r="DK602" s="1321"/>
      <c r="DL602" s="1322"/>
      <c r="DM602" s="1320">
        <f t="shared" si="15"/>
        <v>0</v>
      </c>
      <c r="DN602" s="1321"/>
      <c r="DO602" s="1321"/>
      <c r="DP602" s="1321"/>
      <c r="DQ602" s="1322"/>
      <c r="DR602" s="1320">
        <f t="shared" si="16"/>
        <v>0</v>
      </c>
      <c r="DS602" s="1321"/>
      <c r="DT602" s="1321"/>
      <c r="DU602" s="1321"/>
      <c r="DV602" s="1322"/>
    </row>
    <row r="603" spans="1:126" ht="12.95" customHeight="1">
      <c r="A603" s="61" t="s">
        <v>546</v>
      </c>
      <c r="B603" t="s">
        <v>82</v>
      </c>
      <c r="C603"/>
      <c r="G603" s="1306">
        <f>C565</f>
        <v>0</v>
      </c>
      <c r="H603" s="1306"/>
      <c r="I603" s="1306"/>
      <c r="J603" s="1306"/>
      <c r="K603" s="1306"/>
      <c r="L603" s="1306"/>
      <c r="M603" s="1306"/>
      <c r="N603" s="1306"/>
      <c r="O603" s="1306"/>
      <c r="P603" s="1306"/>
      <c r="Q603" s="1306"/>
      <c r="R603" s="1306"/>
      <c r="T603" s="61" t="s">
        <v>174</v>
      </c>
      <c r="U603" t="s">
        <v>82</v>
      </c>
      <c r="Z603" s="1306">
        <f>C566</f>
        <v>0</v>
      </c>
      <c r="AA603" s="1306"/>
      <c r="AB603" s="1306"/>
      <c r="AC603" s="1306"/>
      <c r="AD603" s="1306"/>
      <c r="AE603" s="1306"/>
      <c r="AF603" s="1306"/>
      <c r="AG603" s="1306"/>
      <c r="AH603" s="1306"/>
      <c r="AI603" s="1306"/>
      <c r="AJ603" s="1306"/>
      <c r="AK603" s="1306"/>
      <c r="AZ603" s="5" t="s">
        <v>782</v>
      </c>
      <c r="BA603" s="41"/>
      <c r="BB603" s="41"/>
      <c r="BC603" s="41"/>
      <c r="BD603" s="41"/>
      <c r="BE603" s="1314">
        <f t="shared" si="9"/>
        <v>0</v>
      </c>
      <c r="BF603" s="1316"/>
      <c r="BG603" s="1308">
        <f t="shared" si="1"/>
        <v>0</v>
      </c>
      <c r="BH603" s="1310"/>
      <c r="BI603" s="1314">
        <f t="shared" si="10"/>
        <v>1</v>
      </c>
      <c r="BJ603" s="1316"/>
      <c r="BK603" s="1308">
        <f t="shared" si="2"/>
        <v>6</v>
      </c>
      <c r="BL603" s="1310"/>
      <c r="BN603" s="1308">
        <f t="shared" si="3"/>
        <v>0</v>
      </c>
      <c r="BO603" s="1309"/>
      <c r="BP603" s="1309"/>
      <c r="BQ603" s="1309"/>
      <c r="BR603" s="1319"/>
      <c r="BS603" s="1308">
        <f t="shared" si="4"/>
        <v>0</v>
      </c>
      <c r="BT603" s="1309"/>
      <c r="BU603" s="1309"/>
      <c r="BV603" s="1309"/>
      <c r="BW603" s="1310"/>
      <c r="BX603" s="1308">
        <f t="shared" si="5"/>
        <v>4</v>
      </c>
      <c r="BY603" s="1309"/>
      <c r="BZ603" s="1309"/>
      <c r="CA603" s="1309"/>
      <c r="CB603" s="1310"/>
      <c r="CC603" s="1308">
        <f t="shared" si="6"/>
        <v>0</v>
      </c>
      <c r="CD603" s="1309"/>
      <c r="CE603" s="1309"/>
      <c r="CF603" s="1309"/>
      <c r="CG603" s="1310"/>
      <c r="CH603" s="1308">
        <f t="shared" si="7"/>
        <v>0</v>
      </c>
      <c r="CI603" s="1309"/>
      <c r="CJ603" s="1309"/>
      <c r="CK603" s="1309"/>
      <c r="CL603" s="1310"/>
      <c r="CM603" s="1317">
        <f t="shared" si="8"/>
        <v>0</v>
      </c>
      <c r="CN603" s="1318"/>
      <c r="CO603" s="1318"/>
      <c r="CP603" s="1318"/>
      <c r="CQ603" s="1319"/>
      <c r="CS603" s="1320">
        <f t="shared" si="11"/>
        <v>0</v>
      </c>
      <c r="CT603" s="1321"/>
      <c r="CU603" s="1321"/>
      <c r="CV603" s="1321"/>
      <c r="CW603" s="1322"/>
      <c r="CX603" s="1320">
        <f t="shared" si="12"/>
        <v>0</v>
      </c>
      <c r="CY603" s="1321"/>
      <c r="CZ603" s="1321"/>
      <c r="DA603" s="1321"/>
      <c r="DB603" s="1322"/>
      <c r="DC603" s="1320">
        <f t="shared" si="13"/>
        <v>6</v>
      </c>
      <c r="DD603" s="1321"/>
      <c r="DE603" s="1321"/>
      <c r="DF603" s="1321"/>
      <c r="DG603" s="1322"/>
      <c r="DH603" s="1320">
        <f t="shared" si="14"/>
        <v>0</v>
      </c>
      <c r="DI603" s="1321"/>
      <c r="DJ603" s="1321"/>
      <c r="DK603" s="1321"/>
      <c r="DL603" s="1322"/>
      <c r="DM603" s="1320">
        <f t="shared" si="15"/>
        <v>0</v>
      </c>
      <c r="DN603" s="1321"/>
      <c r="DO603" s="1321"/>
      <c r="DP603" s="1321"/>
      <c r="DQ603" s="1322"/>
      <c r="DR603" s="1320">
        <f t="shared" si="16"/>
        <v>0</v>
      </c>
      <c r="DS603" s="1321"/>
      <c r="DT603" s="1321"/>
      <c r="DU603" s="1321"/>
      <c r="DV603" s="1322"/>
    </row>
    <row r="604" spans="1:126" ht="12.95" customHeight="1">
      <c r="A604" s="4"/>
      <c r="B604" t="s">
        <v>372</v>
      </c>
      <c r="C604"/>
      <c r="G604" s="1158"/>
      <c r="H604" s="1158"/>
      <c r="I604" s="1158"/>
      <c r="J604" s="1158"/>
      <c r="K604" s="1158"/>
      <c r="L604" s="1158"/>
      <c r="M604" s="1158"/>
      <c r="N604" s="1158"/>
      <c r="O604" s="1158"/>
      <c r="P604" s="1158"/>
      <c r="Q604" s="1158"/>
      <c r="R604" s="1158"/>
      <c r="T604" s="4"/>
      <c r="U604" t="s">
        <v>372</v>
      </c>
      <c r="Z604" s="1158"/>
      <c r="AA604" s="1158"/>
      <c r="AB604" s="1158"/>
      <c r="AC604" s="1158"/>
      <c r="AD604" s="1158"/>
      <c r="AE604" s="1158"/>
      <c r="AF604" s="1158"/>
      <c r="AG604" s="1158"/>
      <c r="AH604" s="1158"/>
      <c r="AI604" s="1158"/>
      <c r="AJ604" s="1158"/>
      <c r="AK604" s="1158"/>
      <c r="AZ604" s="5" t="s">
        <v>344</v>
      </c>
      <c r="BA604" s="41"/>
      <c r="BB604" s="41"/>
      <c r="BC604" s="41"/>
      <c r="BD604" s="41"/>
      <c r="BE604" s="1314">
        <f t="shared" si="9"/>
        <v>1</v>
      </c>
      <c r="BF604" s="1316"/>
      <c r="BG604" s="1308">
        <f t="shared" si="1"/>
        <v>4</v>
      </c>
      <c r="BH604" s="1310"/>
      <c r="BI604" s="1314">
        <f t="shared" si="10"/>
        <v>0</v>
      </c>
      <c r="BJ604" s="1316"/>
      <c r="BK604" s="1308">
        <f t="shared" si="2"/>
        <v>0</v>
      </c>
      <c r="BL604" s="1310"/>
      <c r="BN604" s="1308">
        <f t="shared" si="3"/>
        <v>0</v>
      </c>
      <c r="BO604" s="1309"/>
      <c r="BP604" s="1309"/>
      <c r="BQ604" s="1309"/>
      <c r="BR604" s="1319"/>
      <c r="BS604" s="1308">
        <f t="shared" si="4"/>
        <v>0</v>
      </c>
      <c r="BT604" s="1309"/>
      <c r="BU604" s="1309"/>
      <c r="BV604" s="1309"/>
      <c r="BW604" s="1310"/>
      <c r="BX604" s="1308">
        <f t="shared" si="5"/>
        <v>13</v>
      </c>
      <c r="BY604" s="1309"/>
      <c r="BZ604" s="1309"/>
      <c r="CA604" s="1309"/>
      <c r="CB604" s="1310"/>
      <c r="CC604" s="1308">
        <f t="shared" si="6"/>
        <v>0</v>
      </c>
      <c r="CD604" s="1309"/>
      <c r="CE604" s="1309"/>
      <c r="CF604" s="1309"/>
      <c r="CG604" s="1310"/>
      <c r="CH604" s="1308">
        <f t="shared" si="7"/>
        <v>0</v>
      </c>
      <c r="CI604" s="1309"/>
      <c r="CJ604" s="1309"/>
      <c r="CK604" s="1309"/>
      <c r="CL604" s="1310"/>
      <c r="CM604" s="1317">
        <f t="shared" si="8"/>
        <v>0</v>
      </c>
      <c r="CN604" s="1318"/>
      <c r="CO604" s="1318"/>
      <c r="CP604" s="1318"/>
      <c r="CQ604" s="1319"/>
      <c r="CS604" s="1320">
        <f t="shared" si="11"/>
        <v>0</v>
      </c>
      <c r="CT604" s="1321"/>
      <c r="CU604" s="1321"/>
      <c r="CV604" s="1321"/>
      <c r="CW604" s="1322"/>
      <c r="CX604" s="1320">
        <f t="shared" si="12"/>
        <v>0</v>
      </c>
      <c r="CY604" s="1321"/>
      <c r="CZ604" s="1321"/>
      <c r="DA604" s="1321"/>
      <c r="DB604" s="1322"/>
      <c r="DC604" s="1320">
        <f t="shared" si="13"/>
        <v>0</v>
      </c>
      <c r="DD604" s="1321"/>
      <c r="DE604" s="1321"/>
      <c r="DF604" s="1321"/>
      <c r="DG604" s="1322"/>
      <c r="DH604" s="1320">
        <f t="shared" si="14"/>
        <v>0</v>
      </c>
      <c r="DI604" s="1321"/>
      <c r="DJ604" s="1321"/>
      <c r="DK604" s="1321"/>
      <c r="DL604" s="1322"/>
      <c r="DM604" s="1320">
        <f t="shared" si="15"/>
        <v>0</v>
      </c>
      <c r="DN604" s="1321"/>
      <c r="DO604" s="1321"/>
      <c r="DP604" s="1321"/>
      <c r="DQ604" s="1322"/>
      <c r="DR604" s="1320">
        <f t="shared" si="16"/>
        <v>0</v>
      </c>
      <c r="DS604" s="1321"/>
      <c r="DT604" s="1321"/>
      <c r="DU604" s="1321"/>
      <c r="DV604" s="1322"/>
    </row>
    <row r="605" spans="1:126" ht="12.95" customHeight="1">
      <c r="A605" s="4"/>
      <c r="B605" t="s">
        <v>430</v>
      </c>
      <c r="C605"/>
      <c r="G605" s="1158"/>
      <c r="H605" s="1158"/>
      <c r="I605" s="1158"/>
      <c r="J605" s="1158"/>
      <c r="K605" s="1158"/>
      <c r="L605" s="1158"/>
      <c r="M605" s="1158"/>
      <c r="N605" s="1158"/>
      <c r="O605" s="1158"/>
      <c r="P605" s="1158"/>
      <c r="Q605" s="1158"/>
      <c r="R605" s="1158"/>
      <c r="T605" s="4"/>
      <c r="U605" t="s">
        <v>430</v>
      </c>
      <c r="Z605" s="1065"/>
      <c r="AA605" s="1065"/>
      <c r="AB605" s="1065"/>
      <c r="AC605" s="1065"/>
      <c r="AD605" s="1065"/>
      <c r="AE605" s="1065"/>
      <c r="AF605" s="1065"/>
      <c r="AG605" s="1065"/>
      <c r="AH605" s="1065"/>
      <c r="AI605" s="1065"/>
      <c r="AJ605" s="1065"/>
      <c r="AK605" s="1065"/>
      <c r="AZ605" s="41"/>
      <c r="BA605" s="41"/>
      <c r="BB605" s="41"/>
      <c r="BC605" s="41"/>
      <c r="BD605" s="41"/>
      <c r="BE605" s="1314">
        <f t="shared" si="9"/>
        <v>1</v>
      </c>
      <c r="BF605" s="1316"/>
      <c r="BG605" s="1308">
        <f t="shared" si="1"/>
        <v>13</v>
      </c>
      <c r="BH605" s="1310"/>
      <c r="BI605" s="1314">
        <f t="shared" si="10"/>
        <v>0</v>
      </c>
      <c r="BJ605" s="1316"/>
      <c r="BK605" s="1308">
        <f t="shared" si="2"/>
        <v>0</v>
      </c>
      <c r="BL605" s="1310"/>
      <c r="BN605" s="1308">
        <f t="shared" si="3"/>
        <v>0</v>
      </c>
      <c r="BO605" s="1309"/>
      <c r="BP605" s="1309"/>
      <c r="BQ605" s="1309"/>
      <c r="BR605" s="1319"/>
      <c r="BS605" s="1308">
        <f t="shared" si="4"/>
        <v>0</v>
      </c>
      <c r="BT605" s="1309"/>
      <c r="BU605" s="1309"/>
      <c r="BV605" s="1309"/>
      <c r="BW605" s="1310"/>
      <c r="BX605" s="1308">
        <f t="shared" si="5"/>
        <v>0</v>
      </c>
      <c r="BY605" s="1309"/>
      <c r="BZ605" s="1309"/>
      <c r="CA605" s="1309"/>
      <c r="CB605" s="1310"/>
      <c r="CC605" s="1308">
        <f t="shared" si="6"/>
        <v>2</v>
      </c>
      <c r="CD605" s="1309"/>
      <c r="CE605" s="1309"/>
      <c r="CF605" s="1309"/>
      <c r="CG605" s="1310"/>
      <c r="CH605" s="1308">
        <f t="shared" si="7"/>
        <v>0</v>
      </c>
      <c r="CI605" s="1309"/>
      <c r="CJ605" s="1309"/>
      <c r="CK605" s="1309"/>
      <c r="CL605" s="1310"/>
      <c r="CM605" s="1317">
        <f t="shared" si="8"/>
        <v>0</v>
      </c>
      <c r="CN605" s="1318"/>
      <c r="CO605" s="1318"/>
      <c r="CP605" s="1318"/>
      <c r="CQ605" s="1319"/>
      <c r="CS605" s="1320">
        <f t="shared" si="11"/>
        <v>0</v>
      </c>
      <c r="CT605" s="1321"/>
      <c r="CU605" s="1321"/>
      <c r="CV605" s="1321"/>
      <c r="CW605" s="1322"/>
      <c r="CX605" s="1320">
        <f t="shared" si="12"/>
        <v>0</v>
      </c>
      <c r="CY605" s="1321"/>
      <c r="CZ605" s="1321"/>
      <c r="DA605" s="1321"/>
      <c r="DB605" s="1322"/>
      <c r="DC605" s="1320">
        <f t="shared" si="13"/>
        <v>0</v>
      </c>
      <c r="DD605" s="1321"/>
      <c r="DE605" s="1321"/>
      <c r="DF605" s="1321"/>
      <c r="DG605" s="1322"/>
      <c r="DH605" s="1320">
        <f t="shared" si="14"/>
        <v>0</v>
      </c>
      <c r="DI605" s="1321"/>
      <c r="DJ605" s="1321"/>
      <c r="DK605" s="1321"/>
      <c r="DL605" s="1322"/>
      <c r="DM605" s="1320">
        <f t="shared" si="15"/>
        <v>0</v>
      </c>
      <c r="DN605" s="1321"/>
      <c r="DO605" s="1321"/>
      <c r="DP605" s="1321"/>
      <c r="DQ605" s="1322"/>
      <c r="DR605" s="1320">
        <f t="shared" si="16"/>
        <v>0</v>
      </c>
      <c r="DS605" s="1321"/>
      <c r="DT605" s="1321"/>
      <c r="DU605" s="1321"/>
      <c r="DV605" s="1322"/>
    </row>
    <row r="606" spans="1:126" ht="12.95" customHeight="1">
      <c r="A606" s="4"/>
      <c r="B606" t="s">
        <v>833</v>
      </c>
      <c r="C606"/>
      <c r="G606" s="1158"/>
      <c r="H606" s="1158"/>
      <c r="I606" s="1158"/>
      <c r="J606" s="1158"/>
      <c r="K606" s="1158"/>
      <c r="L606" s="1158"/>
      <c r="M606" s="1158"/>
      <c r="N606" s="1158"/>
      <c r="O606" s="1158"/>
      <c r="P606" s="1158"/>
      <c r="Q606" s="1158"/>
      <c r="R606" s="1158"/>
      <c r="T606" s="4"/>
      <c r="U606" t="s">
        <v>833</v>
      </c>
      <c r="Z606" s="1065"/>
      <c r="AA606" s="1065"/>
      <c r="AB606" s="1065"/>
      <c r="AC606" s="1065"/>
      <c r="AD606" s="1065"/>
      <c r="AE606" s="1065"/>
      <c r="AF606" s="1065"/>
      <c r="AG606" s="1065"/>
      <c r="AH606" s="1065"/>
      <c r="AI606" s="1065"/>
      <c r="AJ606" s="1065"/>
      <c r="AK606" s="1065"/>
      <c r="AZ606" s="41"/>
      <c r="BA606" s="41"/>
      <c r="BB606" s="41"/>
      <c r="BC606" s="41"/>
      <c r="BD606" s="41"/>
      <c r="BE606" s="1314">
        <f t="shared" si="9"/>
        <v>0</v>
      </c>
      <c r="BF606" s="1316"/>
      <c r="BG606" s="1308">
        <f t="shared" si="1"/>
        <v>0</v>
      </c>
      <c r="BH606" s="1310"/>
      <c r="BI606" s="1314">
        <f t="shared" si="10"/>
        <v>1</v>
      </c>
      <c r="BJ606" s="1316"/>
      <c r="BK606" s="1308">
        <f t="shared" si="2"/>
        <v>2</v>
      </c>
      <c r="BL606" s="1310"/>
      <c r="BN606" s="1308">
        <f t="shared" si="3"/>
        <v>0</v>
      </c>
      <c r="BO606" s="1309"/>
      <c r="BP606" s="1309"/>
      <c r="BQ606" s="1309"/>
      <c r="BR606" s="1319"/>
      <c r="BS606" s="1308">
        <f t="shared" si="4"/>
        <v>0</v>
      </c>
      <c r="BT606" s="1309"/>
      <c r="BU606" s="1309"/>
      <c r="BV606" s="1309"/>
      <c r="BW606" s="1310"/>
      <c r="BX606" s="1308">
        <f t="shared" si="5"/>
        <v>0</v>
      </c>
      <c r="BY606" s="1309"/>
      <c r="BZ606" s="1309"/>
      <c r="CA606" s="1309"/>
      <c r="CB606" s="1310"/>
      <c r="CC606" s="1308">
        <f t="shared" si="6"/>
        <v>3</v>
      </c>
      <c r="CD606" s="1309"/>
      <c r="CE606" s="1309"/>
      <c r="CF606" s="1309"/>
      <c r="CG606" s="1310"/>
      <c r="CH606" s="1308">
        <f t="shared" si="7"/>
        <v>0</v>
      </c>
      <c r="CI606" s="1309"/>
      <c r="CJ606" s="1309"/>
      <c r="CK606" s="1309"/>
      <c r="CL606" s="1310"/>
      <c r="CM606" s="1317">
        <f t="shared" si="8"/>
        <v>0</v>
      </c>
      <c r="CN606" s="1318"/>
      <c r="CO606" s="1318"/>
      <c r="CP606" s="1318"/>
      <c r="CQ606" s="1319"/>
      <c r="CS606" s="1320">
        <f t="shared" si="11"/>
        <v>0</v>
      </c>
      <c r="CT606" s="1321"/>
      <c r="CU606" s="1321"/>
      <c r="CV606" s="1321"/>
      <c r="CW606" s="1322"/>
      <c r="CX606" s="1320">
        <f t="shared" si="12"/>
        <v>0</v>
      </c>
      <c r="CY606" s="1321"/>
      <c r="CZ606" s="1321"/>
      <c r="DA606" s="1321"/>
      <c r="DB606" s="1322"/>
      <c r="DC606" s="1320">
        <f t="shared" si="13"/>
        <v>0</v>
      </c>
      <c r="DD606" s="1321"/>
      <c r="DE606" s="1321"/>
      <c r="DF606" s="1321"/>
      <c r="DG606" s="1322"/>
      <c r="DH606" s="1320">
        <f t="shared" si="14"/>
        <v>2</v>
      </c>
      <c r="DI606" s="1321"/>
      <c r="DJ606" s="1321"/>
      <c r="DK606" s="1321"/>
      <c r="DL606" s="1322"/>
      <c r="DM606" s="1320">
        <f t="shared" si="15"/>
        <v>0</v>
      </c>
      <c r="DN606" s="1321"/>
      <c r="DO606" s="1321"/>
      <c r="DP606" s="1321"/>
      <c r="DQ606" s="1322"/>
      <c r="DR606" s="1320">
        <f t="shared" si="16"/>
        <v>0</v>
      </c>
      <c r="DS606" s="1321"/>
      <c r="DT606" s="1321"/>
      <c r="DU606" s="1321"/>
      <c r="DV606" s="1322"/>
    </row>
    <row r="607" spans="1:126" ht="12.95" customHeight="1">
      <c r="A607" s="4"/>
      <c r="B607" t="s">
        <v>650</v>
      </c>
      <c r="C607"/>
      <c r="G607" s="1307"/>
      <c r="H607" s="1307"/>
      <c r="I607" s="1307"/>
      <c r="J607" s="1307"/>
      <c r="K607" s="1307"/>
      <c r="L607" s="1307"/>
      <c r="O607" s="42" t="s">
        <v>818</v>
      </c>
      <c r="P607" s="1066"/>
      <c r="Q607" s="1066"/>
      <c r="R607" s="1066"/>
      <c r="T607" s="4"/>
      <c r="U607" t="s">
        <v>650</v>
      </c>
      <c r="Z607" s="1307"/>
      <c r="AA607" s="1307"/>
      <c r="AB607" s="1307"/>
      <c r="AC607" s="1307"/>
      <c r="AD607" s="1307"/>
      <c r="AE607" s="1307"/>
      <c r="AH607" s="42" t="s">
        <v>818</v>
      </c>
      <c r="AI607" s="1066"/>
      <c r="AJ607" s="1066"/>
      <c r="AK607" s="1066"/>
      <c r="AZ607" s="41"/>
      <c r="BA607" s="41"/>
      <c r="BB607" s="41"/>
      <c r="BC607" s="41"/>
      <c r="BD607" s="41"/>
      <c r="BE607" s="1314">
        <f t="shared" si="9"/>
        <v>1</v>
      </c>
      <c r="BF607" s="1316"/>
      <c r="BG607" s="1308">
        <f t="shared" si="1"/>
        <v>3</v>
      </c>
      <c r="BH607" s="1310"/>
      <c r="BI607" s="1314">
        <f t="shared" si="10"/>
        <v>0</v>
      </c>
      <c r="BJ607" s="1316"/>
      <c r="BK607" s="1308">
        <f t="shared" si="2"/>
        <v>0</v>
      </c>
      <c r="BL607" s="1310"/>
      <c r="BN607" s="1308">
        <f t="shared" si="3"/>
        <v>0</v>
      </c>
      <c r="BO607" s="1309"/>
      <c r="BP607" s="1309"/>
      <c r="BQ607" s="1309"/>
      <c r="BR607" s="1319"/>
      <c r="BS607" s="1308">
        <f t="shared" si="4"/>
        <v>0</v>
      </c>
      <c r="BT607" s="1309"/>
      <c r="BU607" s="1309"/>
      <c r="BV607" s="1309"/>
      <c r="BW607" s="1310"/>
      <c r="BX607" s="1308">
        <f t="shared" si="5"/>
        <v>0</v>
      </c>
      <c r="BY607" s="1309"/>
      <c r="BZ607" s="1309"/>
      <c r="CA607" s="1309"/>
      <c r="CB607" s="1310"/>
      <c r="CC607" s="1308">
        <f t="shared" si="6"/>
        <v>8</v>
      </c>
      <c r="CD607" s="1309"/>
      <c r="CE607" s="1309"/>
      <c r="CF607" s="1309"/>
      <c r="CG607" s="1310"/>
      <c r="CH607" s="1308">
        <f t="shared" si="7"/>
        <v>0</v>
      </c>
      <c r="CI607" s="1309"/>
      <c r="CJ607" s="1309"/>
      <c r="CK607" s="1309"/>
      <c r="CL607" s="1310"/>
      <c r="CM607" s="1317">
        <f t="shared" si="8"/>
        <v>0</v>
      </c>
      <c r="CN607" s="1318"/>
      <c r="CO607" s="1318"/>
      <c r="CP607" s="1318"/>
      <c r="CQ607" s="1319"/>
      <c r="CS607" s="1320">
        <f t="shared" si="11"/>
        <v>0</v>
      </c>
      <c r="CT607" s="1321"/>
      <c r="CU607" s="1321"/>
      <c r="CV607" s="1321"/>
      <c r="CW607" s="1322"/>
      <c r="CX607" s="1320">
        <f t="shared" si="12"/>
        <v>0</v>
      </c>
      <c r="CY607" s="1321"/>
      <c r="CZ607" s="1321"/>
      <c r="DA607" s="1321"/>
      <c r="DB607" s="1322"/>
      <c r="DC607" s="1320">
        <f t="shared" si="13"/>
        <v>0</v>
      </c>
      <c r="DD607" s="1321"/>
      <c r="DE607" s="1321"/>
      <c r="DF607" s="1321"/>
      <c r="DG607" s="1322"/>
      <c r="DH607" s="1320">
        <f t="shared" si="14"/>
        <v>0</v>
      </c>
      <c r="DI607" s="1321"/>
      <c r="DJ607" s="1321"/>
      <c r="DK607" s="1321"/>
      <c r="DL607" s="1322"/>
      <c r="DM607" s="1320">
        <f t="shared" si="15"/>
        <v>0</v>
      </c>
      <c r="DN607" s="1321"/>
      <c r="DO607" s="1321"/>
      <c r="DP607" s="1321"/>
      <c r="DQ607" s="1322"/>
      <c r="DR607" s="1320">
        <f t="shared" si="16"/>
        <v>0</v>
      </c>
      <c r="DS607" s="1321"/>
      <c r="DT607" s="1321"/>
      <c r="DU607" s="1321"/>
      <c r="DV607" s="1322"/>
    </row>
    <row r="608" spans="1:126" s="5" customFormat="1" ht="12.95" customHeight="1">
      <c r="A608" s="4"/>
      <c r="B608" t="s">
        <v>834</v>
      </c>
      <c r="C608"/>
      <c r="D608"/>
      <c r="E608"/>
      <c r="F608"/>
      <c r="G608"/>
      <c r="H608" s="1158"/>
      <c r="I608" s="1158"/>
      <c r="J608" s="1158"/>
      <c r="K608" s="1158"/>
      <c r="L608" s="1158"/>
      <c r="M608" s="1158"/>
      <c r="N608" s="1158"/>
      <c r="O608" s="1158"/>
      <c r="P608" s="1158"/>
      <c r="Q608" s="1158"/>
      <c r="R608" s="1158"/>
      <c r="S608"/>
      <c r="T608" s="4"/>
      <c r="U608" t="s">
        <v>834</v>
      </c>
      <c r="V608"/>
      <c r="W608"/>
      <c r="X608"/>
      <c r="Y608"/>
      <c r="Z608"/>
      <c r="AA608" s="1158"/>
      <c r="AB608" s="1158"/>
      <c r="AC608" s="1158"/>
      <c r="AD608" s="1158"/>
      <c r="AE608" s="1158"/>
      <c r="AF608" s="1158"/>
      <c r="AG608" s="1158"/>
      <c r="AH608" s="1158"/>
      <c r="AI608" s="1158"/>
      <c r="AJ608" s="1158"/>
      <c r="AK608" s="1158"/>
      <c r="AL608"/>
      <c r="AZ608" s="41"/>
      <c r="BA608" s="41"/>
      <c r="BB608" s="41"/>
      <c r="BC608" s="41"/>
      <c r="BD608" s="41"/>
      <c r="BE608" s="1314">
        <f t="shared" si="9"/>
        <v>1</v>
      </c>
      <c r="BF608" s="1316"/>
      <c r="BG608" s="1308">
        <f t="shared" si="1"/>
        <v>8</v>
      </c>
      <c r="BH608" s="1310"/>
      <c r="BI608" s="1314">
        <f t="shared" si="10"/>
        <v>0</v>
      </c>
      <c r="BJ608" s="1316"/>
      <c r="BK608" s="1308">
        <f t="shared" si="2"/>
        <v>0</v>
      </c>
      <c r="BL608" s="1310"/>
      <c r="BN608" s="1308">
        <f t="shared" si="3"/>
        <v>0</v>
      </c>
      <c r="BO608" s="1309"/>
      <c r="BP608" s="1309"/>
      <c r="BQ608" s="1309"/>
      <c r="BR608" s="1319"/>
      <c r="BS608" s="1308">
        <f t="shared" si="4"/>
        <v>0</v>
      </c>
      <c r="BT608" s="1309"/>
      <c r="BU608" s="1309"/>
      <c r="BV608" s="1309"/>
      <c r="BW608" s="1310"/>
      <c r="BX608" s="1308">
        <f t="shared" si="5"/>
        <v>0</v>
      </c>
      <c r="BY608" s="1309"/>
      <c r="BZ608" s="1309"/>
      <c r="CA608" s="1309"/>
      <c r="CB608" s="1310"/>
      <c r="CC608" s="1308">
        <f t="shared" si="6"/>
        <v>0</v>
      </c>
      <c r="CD608" s="1309"/>
      <c r="CE608" s="1309"/>
      <c r="CF608" s="1309"/>
      <c r="CG608" s="1310"/>
      <c r="CH608" s="1308">
        <f t="shared" si="7"/>
        <v>0</v>
      </c>
      <c r="CI608" s="1309"/>
      <c r="CJ608" s="1309"/>
      <c r="CK608" s="1309"/>
      <c r="CL608" s="1310"/>
      <c r="CM608" s="1317">
        <f t="shared" si="8"/>
        <v>0</v>
      </c>
      <c r="CN608" s="1318"/>
      <c r="CO608" s="1318"/>
      <c r="CP608" s="1318"/>
      <c r="CQ608" s="1319"/>
      <c r="CS608" s="1320">
        <f t="shared" si="11"/>
        <v>0</v>
      </c>
      <c r="CT608" s="1321"/>
      <c r="CU608" s="1321"/>
      <c r="CV608" s="1321"/>
      <c r="CW608" s="1322"/>
      <c r="CX608" s="1320">
        <f t="shared" si="12"/>
        <v>0</v>
      </c>
      <c r="CY608" s="1321"/>
      <c r="CZ608" s="1321"/>
      <c r="DA608" s="1321"/>
      <c r="DB608" s="1322"/>
      <c r="DC608" s="1320">
        <f t="shared" si="13"/>
        <v>0</v>
      </c>
      <c r="DD608" s="1321"/>
      <c r="DE608" s="1321"/>
      <c r="DF608" s="1321"/>
      <c r="DG608" s="1322"/>
      <c r="DH608" s="1320">
        <f t="shared" si="14"/>
        <v>0</v>
      </c>
      <c r="DI608" s="1321"/>
      <c r="DJ608" s="1321"/>
      <c r="DK608" s="1321"/>
      <c r="DL608" s="1322"/>
      <c r="DM608" s="1320">
        <f t="shared" si="15"/>
        <v>0</v>
      </c>
      <c r="DN608" s="1321"/>
      <c r="DO608" s="1321"/>
      <c r="DP608" s="1321"/>
      <c r="DQ608" s="1322"/>
      <c r="DR608" s="1320">
        <f t="shared" si="16"/>
        <v>0</v>
      </c>
      <c r="DS608" s="1321"/>
      <c r="DT608" s="1321"/>
      <c r="DU608" s="1321"/>
      <c r="DV608" s="1322"/>
    </row>
    <row r="609" spans="1:126" s="5" customFormat="1" ht="12.95" customHeight="1">
      <c r="A609" s="4"/>
      <c r="B609" t="s">
        <v>836</v>
      </c>
      <c r="C609"/>
      <c r="D609"/>
      <c r="E609"/>
      <c r="F609"/>
      <c r="G609"/>
      <c r="H609"/>
      <c r="I609"/>
      <c r="J609"/>
      <c r="K609"/>
      <c r="L609"/>
      <c r="M609"/>
      <c r="N609" s="1122" t="s">
        <v>482</v>
      </c>
      <c r="O609" s="1122"/>
      <c r="P609"/>
      <c r="Q609"/>
      <c r="R609"/>
      <c r="S609"/>
      <c r="T609" s="4"/>
      <c r="U609" t="s">
        <v>836</v>
      </c>
      <c r="V609"/>
      <c r="W609"/>
      <c r="X609"/>
      <c r="Y609"/>
      <c r="Z609"/>
      <c r="AA609"/>
      <c r="AB609"/>
      <c r="AC609"/>
      <c r="AD609"/>
      <c r="AE609"/>
      <c r="AF609"/>
      <c r="AG609" s="1122" t="s">
        <v>482</v>
      </c>
      <c r="AH609" s="1122"/>
      <c r="AI609"/>
      <c r="AJ609"/>
      <c r="AK609"/>
      <c r="AL609"/>
      <c r="AZ609" s="41"/>
      <c r="BA609" s="41"/>
      <c r="BB609" s="41"/>
      <c r="BC609" s="41"/>
      <c r="BD609" s="41"/>
      <c r="BE609" s="1314">
        <f t="shared" si="9"/>
        <v>0</v>
      </c>
      <c r="BF609" s="1316"/>
      <c r="BG609" s="1308">
        <f t="shared" si="1"/>
        <v>0</v>
      </c>
      <c r="BH609" s="1310"/>
      <c r="BI609" s="1314">
        <f t="shared" si="10"/>
        <v>0</v>
      </c>
      <c r="BJ609" s="1316"/>
      <c r="BK609" s="1308">
        <f t="shared" si="2"/>
        <v>0</v>
      </c>
      <c r="BL609" s="1310"/>
      <c r="BN609" s="1308">
        <f t="shared" si="3"/>
        <v>0</v>
      </c>
      <c r="BO609" s="1309"/>
      <c r="BP609" s="1309"/>
      <c r="BQ609" s="1309"/>
      <c r="BR609" s="1319"/>
      <c r="BS609" s="1308">
        <f t="shared" si="4"/>
        <v>0</v>
      </c>
      <c r="BT609" s="1309"/>
      <c r="BU609" s="1309"/>
      <c r="BV609" s="1309"/>
      <c r="BW609" s="1310"/>
      <c r="BX609" s="1308">
        <f t="shared" si="5"/>
        <v>0</v>
      </c>
      <c r="BY609" s="1309"/>
      <c r="BZ609" s="1309"/>
      <c r="CA609" s="1309"/>
      <c r="CB609" s="1310"/>
      <c r="CC609" s="1308">
        <f t="shared" si="6"/>
        <v>0</v>
      </c>
      <c r="CD609" s="1309"/>
      <c r="CE609" s="1309"/>
      <c r="CF609" s="1309"/>
      <c r="CG609" s="1310"/>
      <c r="CH609" s="1308">
        <f t="shared" si="7"/>
        <v>0</v>
      </c>
      <c r="CI609" s="1309"/>
      <c r="CJ609" s="1309"/>
      <c r="CK609" s="1309"/>
      <c r="CL609" s="1310"/>
      <c r="CM609" s="1317">
        <f t="shared" si="8"/>
        <v>0</v>
      </c>
      <c r="CN609" s="1318"/>
      <c r="CO609" s="1318"/>
      <c r="CP609" s="1318"/>
      <c r="CQ609" s="1319"/>
      <c r="CS609" s="1320">
        <f t="shared" si="11"/>
        <v>0</v>
      </c>
      <c r="CT609" s="1321"/>
      <c r="CU609" s="1321"/>
      <c r="CV609" s="1321"/>
      <c r="CW609" s="1322"/>
      <c r="CX609" s="1320">
        <f t="shared" si="12"/>
        <v>0</v>
      </c>
      <c r="CY609" s="1321"/>
      <c r="CZ609" s="1321"/>
      <c r="DA609" s="1321"/>
      <c r="DB609" s="1322"/>
      <c r="DC609" s="1320">
        <f t="shared" si="13"/>
        <v>0</v>
      </c>
      <c r="DD609" s="1321"/>
      <c r="DE609" s="1321"/>
      <c r="DF609" s="1321"/>
      <c r="DG609" s="1322"/>
      <c r="DH609" s="1320">
        <f t="shared" si="14"/>
        <v>0</v>
      </c>
      <c r="DI609" s="1321"/>
      <c r="DJ609" s="1321"/>
      <c r="DK609" s="1321"/>
      <c r="DL609" s="1322"/>
      <c r="DM609" s="1320">
        <f t="shared" si="15"/>
        <v>0</v>
      </c>
      <c r="DN609" s="1321"/>
      <c r="DO609" s="1321"/>
      <c r="DP609" s="1321"/>
      <c r="DQ609" s="1322"/>
      <c r="DR609" s="1320">
        <f t="shared" si="16"/>
        <v>0</v>
      </c>
      <c r="DS609" s="1321"/>
      <c r="DT609" s="1321"/>
      <c r="DU609" s="1321"/>
      <c r="DV609" s="1322"/>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314">
        <f t="shared" si="9"/>
        <v>0</v>
      </c>
      <c r="BF610" s="1316"/>
      <c r="BG610" s="1308">
        <f t="shared" si="1"/>
        <v>0</v>
      </c>
      <c r="BH610" s="1310"/>
      <c r="BI610" s="1314">
        <f t="shared" si="10"/>
        <v>0</v>
      </c>
      <c r="BJ610" s="1316"/>
      <c r="BK610" s="1308">
        <f t="shared" si="2"/>
        <v>0</v>
      </c>
      <c r="BL610" s="1310"/>
      <c r="BN610" s="1308">
        <f t="shared" si="3"/>
        <v>0</v>
      </c>
      <c r="BO610" s="1309"/>
      <c r="BP610" s="1309"/>
      <c r="BQ610" s="1309"/>
      <c r="BR610" s="1319"/>
      <c r="BS610" s="1308">
        <f t="shared" si="4"/>
        <v>0</v>
      </c>
      <c r="BT610" s="1309"/>
      <c r="BU610" s="1309"/>
      <c r="BV610" s="1309"/>
      <c r="BW610" s="1310"/>
      <c r="BX610" s="1308">
        <f t="shared" si="5"/>
        <v>0</v>
      </c>
      <c r="BY610" s="1309"/>
      <c r="BZ610" s="1309"/>
      <c r="CA610" s="1309"/>
      <c r="CB610" s="1310"/>
      <c r="CC610" s="1308">
        <f t="shared" si="6"/>
        <v>0</v>
      </c>
      <c r="CD610" s="1309"/>
      <c r="CE610" s="1309"/>
      <c r="CF610" s="1309"/>
      <c r="CG610" s="1310"/>
      <c r="CH610" s="1308">
        <f t="shared" si="7"/>
        <v>0</v>
      </c>
      <c r="CI610" s="1309"/>
      <c r="CJ610" s="1309"/>
      <c r="CK610" s="1309"/>
      <c r="CL610" s="1310"/>
      <c r="CM610" s="1317">
        <f t="shared" si="8"/>
        <v>0</v>
      </c>
      <c r="CN610" s="1318"/>
      <c r="CO610" s="1318"/>
      <c r="CP610" s="1318"/>
      <c r="CQ610" s="1319"/>
      <c r="CS610" s="1320">
        <f t="shared" si="11"/>
        <v>0</v>
      </c>
      <c r="CT610" s="1321"/>
      <c r="CU610" s="1321"/>
      <c r="CV610" s="1321"/>
      <c r="CW610" s="1322"/>
      <c r="CX610" s="1320">
        <f t="shared" si="12"/>
        <v>0</v>
      </c>
      <c r="CY610" s="1321"/>
      <c r="CZ610" s="1321"/>
      <c r="DA610" s="1321"/>
      <c r="DB610" s="1322"/>
      <c r="DC610" s="1320">
        <f t="shared" si="13"/>
        <v>0</v>
      </c>
      <c r="DD610" s="1321"/>
      <c r="DE610" s="1321"/>
      <c r="DF610" s="1321"/>
      <c r="DG610" s="1322"/>
      <c r="DH610" s="1320">
        <f t="shared" si="14"/>
        <v>0</v>
      </c>
      <c r="DI610" s="1321"/>
      <c r="DJ610" s="1321"/>
      <c r="DK610" s="1321"/>
      <c r="DL610" s="1322"/>
      <c r="DM610" s="1320">
        <f t="shared" si="15"/>
        <v>0</v>
      </c>
      <c r="DN610" s="1321"/>
      <c r="DO610" s="1321"/>
      <c r="DP610" s="1321"/>
      <c r="DQ610" s="1322"/>
      <c r="DR610" s="1320">
        <f t="shared" si="16"/>
        <v>0</v>
      </c>
      <c r="DS610" s="1321"/>
      <c r="DT610" s="1321"/>
      <c r="DU610" s="1321"/>
      <c r="DV610" s="1322"/>
    </row>
    <row r="611" spans="1:126" ht="12.95" customHeight="1">
      <c r="A611" s="61" t="s">
        <v>32</v>
      </c>
      <c r="B611" t="s">
        <v>82</v>
      </c>
      <c r="C611"/>
      <c r="G611" s="1306">
        <f>C567</f>
        <v>0</v>
      </c>
      <c r="H611" s="1306"/>
      <c r="I611" s="1306"/>
      <c r="J611" s="1306"/>
      <c r="K611" s="1306"/>
      <c r="L611" s="1306"/>
      <c r="M611" s="1306"/>
      <c r="N611" s="1306"/>
      <c r="O611" s="1306"/>
      <c r="P611" s="1306"/>
      <c r="Q611" s="1306"/>
      <c r="R611" s="1306"/>
      <c r="T611" s="61" t="s">
        <v>33</v>
      </c>
      <c r="U611" t="s">
        <v>82</v>
      </c>
      <c r="Z611" s="1306">
        <f>C568</f>
        <v>0</v>
      </c>
      <c r="AA611" s="1306"/>
      <c r="AB611" s="1306"/>
      <c r="AC611" s="1306"/>
      <c r="AD611" s="1306"/>
      <c r="AE611" s="1306"/>
      <c r="AF611" s="1306"/>
      <c r="AG611" s="1306"/>
      <c r="AH611" s="1306"/>
      <c r="AI611" s="1306"/>
      <c r="AJ611" s="1306"/>
      <c r="AK611" s="1306"/>
      <c r="AZ611" s="41"/>
      <c r="BA611" s="41"/>
      <c r="BB611" s="41"/>
      <c r="BC611" s="41"/>
      <c r="BD611" s="41"/>
      <c r="BE611" s="1314">
        <f t="shared" si="9"/>
        <v>0</v>
      </c>
      <c r="BF611" s="1316"/>
      <c r="BG611" s="1308">
        <f t="shared" si="1"/>
        <v>0</v>
      </c>
      <c r="BH611" s="1310"/>
      <c r="BI611" s="1314">
        <f t="shared" si="10"/>
        <v>0</v>
      </c>
      <c r="BJ611" s="1316"/>
      <c r="BK611" s="1308">
        <f t="shared" si="2"/>
        <v>0</v>
      </c>
      <c r="BL611" s="1310"/>
      <c r="BN611" s="1308">
        <f t="shared" si="3"/>
        <v>0</v>
      </c>
      <c r="BO611" s="1309"/>
      <c r="BP611" s="1309"/>
      <c r="BQ611" s="1309"/>
      <c r="BR611" s="1319"/>
      <c r="BS611" s="1308">
        <f t="shared" si="4"/>
        <v>0</v>
      </c>
      <c r="BT611" s="1309"/>
      <c r="BU611" s="1309"/>
      <c r="BV611" s="1309"/>
      <c r="BW611" s="1310"/>
      <c r="BX611" s="1308">
        <f t="shared" si="5"/>
        <v>0</v>
      </c>
      <c r="BY611" s="1309"/>
      <c r="BZ611" s="1309"/>
      <c r="CA611" s="1309"/>
      <c r="CB611" s="1310"/>
      <c r="CC611" s="1308">
        <f t="shared" si="6"/>
        <v>0</v>
      </c>
      <c r="CD611" s="1309"/>
      <c r="CE611" s="1309"/>
      <c r="CF611" s="1309"/>
      <c r="CG611" s="1310"/>
      <c r="CH611" s="1308">
        <f t="shared" si="7"/>
        <v>0</v>
      </c>
      <c r="CI611" s="1309"/>
      <c r="CJ611" s="1309"/>
      <c r="CK611" s="1309"/>
      <c r="CL611" s="1310"/>
      <c r="CM611" s="1317">
        <f t="shared" si="8"/>
        <v>0</v>
      </c>
      <c r="CN611" s="1318"/>
      <c r="CO611" s="1318"/>
      <c r="CP611" s="1318"/>
      <c r="CQ611" s="1319"/>
      <c r="CS611" s="1320">
        <f t="shared" si="11"/>
        <v>0</v>
      </c>
      <c r="CT611" s="1321"/>
      <c r="CU611" s="1321"/>
      <c r="CV611" s="1321"/>
      <c r="CW611" s="1322"/>
      <c r="CX611" s="1320">
        <f t="shared" si="12"/>
        <v>0</v>
      </c>
      <c r="CY611" s="1321"/>
      <c r="CZ611" s="1321"/>
      <c r="DA611" s="1321"/>
      <c r="DB611" s="1322"/>
      <c r="DC611" s="1320">
        <f t="shared" si="13"/>
        <v>0</v>
      </c>
      <c r="DD611" s="1321"/>
      <c r="DE611" s="1321"/>
      <c r="DF611" s="1321"/>
      <c r="DG611" s="1322"/>
      <c r="DH611" s="1320">
        <f t="shared" si="14"/>
        <v>0</v>
      </c>
      <c r="DI611" s="1321"/>
      <c r="DJ611" s="1321"/>
      <c r="DK611" s="1321"/>
      <c r="DL611" s="1322"/>
      <c r="DM611" s="1320">
        <f t="shared" si="15"/>
        <v>0</v>
      </c>
      <c r="DN611" s="1321"/>
      <c r="DO611" s="1321"/>
      <c r="DP611" s="1321"/>
      <c r="DQ611" s="1322"/>
      <c r="DR611" s="1320">
        <f t="shared" si="16"/>
        <v>0</v>
      </c>
      <c r="DS611" s="1321"/>
      <c r="DT611" s="1321"/>
      <c r="DU611" s="1321"/>
      <c r="DV611" s="1322"/>
    </row>
    <row r="612" spans="1:126" ht="12.95" customHeight="1">
      <c r="B612" t="s">
        <v>372</v>
      </c>
      <c r="C612"/>
      <c r="G612" s="1158"/>
      <c r="H612" s="1158"/>
      <c r="I612" s="1158"/>
      <c r="J612" s="1158"/>
      <c r="K612" s="1158"/>
      <c r="L612" s="1158"/>
      <c r="M612" s="1158"/>
      <c r="N612" s="1158"/>
      <c r="O612" s="1158"/>
      <c r="P612" s="1158"/>
      <c r="Q612" s="1158"/>
      <c r="R612" s="1158"/>
      <c r="U612" t="s">
        <v>372</v>
      </c>
      <c r="Z612" s="1158"/>
      <c r="AA612" s="1158"/>
      <c r="AB612" s="1158"/>
      <c r="AC612" s="1158"/>
      <c r="AD612" s="1158"/>
      <c r="AE612" s="1158"/>
      <c r="AF612" s="1158"/>
      <c r="AG612" s="1158"/>
      <c r="AH612" s="1158"/>
      <c r="AI612" s="1158"/>
      <c r="AJ612" s="1158"/>
      <c r="AK612" s="1158"/>
      <c r="AZ612" s="41"/>
      <c r="BA612" s="41"/>
      <c r="BB612" s="41"/>
      <c r="BC612" s="41"/>
      <c r="BD612" s="41"/>
      <c r="BE612" s="1314">
        <f t="shared" si="9"/>
        <v>0</v>
      </c>
      <c r="BF612" s="1316"/>
      <c r="BG612" s="1308">
        <f t="shared" si="1"/>
        <v>0</v>
      </c>
      <c r="BH612" s="1310"/>
      <c r="BI612" s="1314">
        <f t="shared" si="10"/>
        <v>0</v>
      </c>
      <c r="BJ612" s="1316"/>
      <c r="BK612" s="1308">
        <f t="shared" si="2"/>
        <v>0</v>
      </c>
      <c r="BL612" s="1310"/>
      <c r="BN612" s="1308">
        <f t="shared" si="3"/>
        <v>0</v>
      </c>
      <c r="BO612" s="1309"/>
      <c r="BP612" s="1309"/>
      <c r="BQ612" s="1309"/>
      <c r="BR612" s="1319"/>
      <c r="BS612" s="1308">
        <f t="shared" si="4"/>
        <v>0</v>
      </c>
      <c r="BT612" s="1309"/>
      <c r="BU612" s="1309"/>
      <c r="BV612" s="1309"/>
      <c r="BW612" s="1310"/>
      <c r="BX612" s="1308">
        <f t="shared" si="5"/>
        <v>0</v>
      </c>
      <c r="BY612" s="1309"/>
      <c r="BZ612" s="1309"/>
      <c r="CA612" s="1309"/>
      <c r="CB612" s="1310"/>
      <c r="CC612" s="1308">
        <f t="shared" si="6"/>
        <v>0</v>
      </c>
      <c r="CD612" s="1309"/>
      <c r="CE612" s="1309"/>
      <c r="CF612" s="1309"/>
      <c r="CG612" s="1310"/>
      <c r="CH612" s="1308">
        <f t="shared" si="7"/>
        <v>0</v>
      </c>
      <c r="CI612" s="1309"/>
      <c r="CJ612" s="1309"/>
      <c r="CK612" s="1309"/>
      <c r="CL612" s="1310"/>
      <c r="CM612" s="1317">
        <f t="shared" si="8"/>
        <v>0</v>
      </c>
      <c r="CN612" s="1318"/>
      <c r="CO612" s="1318"/>
      <c r="CP612" s="1318"/>
      <c r="CQ612" s="1319"/>
      <c r="CS612" s="1320">
        <f t="shared" si="11"/>
        <v>0</v>
      </c>
      <c r="CT612" s="1321"/>
      <c r="CU612" s="1321"/>
      <c r="CV612" s="1321"/>
      <c r="CW612" s="1322"/>
      <c r="CX612" s="1320">
        <f t="shared" si="12"/>
        <v>0</v>
      </c>
      <c r="CY612" s="1321"/>
      <c r="CZ612" s="1321"/>
      <c r="DA612" s="1321"/>
      <c r="DB612" s="1322"/>
      <c r="DC612" s="1320">
        <f t="shared" si="13"/>
        <v>0</v>
      </c>
      <c r="DD612" s="1321"/>
      <c r="DE612" s="1321"/>
      <c r="DF612" s="1321"/>
      <c r="DG612" s="1322"/>
      <c r="DH612" s="1320">
        <f t="shared" si="14"/>
        <v>0</v>
      </c>
      <c r="DI612" s="1321"/>
      <c r="DJ612" s="1321"/>
      <c r="DK612" s="1321"/>
      <c r="DL612" s="1322"/>
      <c r="DM612" s="1320">
        <f t="shared" si="15"/>
        <v>0</v>
      </c>
      <c r="DN612" s="1321"/>
      <c r="DO612" s="1321"/>
      <c r="DP612" s="1321"/>
      <c r="DQ612" s="1322"/>
      <c r="DR612" s="1320">
        <f t="shared" si="16"/>
        <v>0</v>
      </c>
      <c r="DS612" s="1321"/>
      <c r="DT612" s="1321"/>
      <c r="DU612" s="1321"/>
      <c r="DV612" s="1322"/>
    </row>
    <row r="613" spans="1:126" ht="12.95" customHeight="1">
      <c r="B613" t="s">
        <v>430</v>
      </c>
      <c r="C613"/>
      <c r="G613" s="1158"/>
      <c r="H613" s="1158"/>
      <c r="I613" s="1158"/>
      <c r="J613" s="1158"/>
      <c r="K613" s="1158"/>
      <c r="L613" s="1158"/>
      <c r="M613" s="1158"/>
      <c r="N613" s="1158"/>
      <c r="O613" s="1158"/>
      <c r="P613" s="1158"/>
      <c r="Q613" s="1158"/>
      <c r="R613" s="1158"/>
      <c r="U613" t="s">
        <v>430</v>
      </c>
      <c r="Z613" s="1065"/>
      <c r="AA613" s="1065"/>
      <c r="AB613" s="1065"/>
      <c r="AC613" s="1065"/>
      <c r="AD613" s="1065"/>
      <c r="AE613" s="1065"/>
      <c r="AF613" s="1065"/>
      <c r="AG613" s="1065"/>
      <c r="AH613" s="1065"/>
      <c r="AI613" s="1065"/>
      <c r="AJ613" s="1065"/>
      <c r="AK613" s="1065"/>
      <c r="AL613" s="303"/>
      <c r="BA613" s="41"/>
      <c r="BB613" s="41"/>
      <c r="BC613" s="41"/>
      <c r="BD613" s="41"/>
      <c r="BE613" s="1314">
        <f t="shared" si="9"/>
        <v>0</v>
      </c>
      <c r="BF613" s="1316"/>
      <c r="BG613" s="1308">
        <f t="shared" si="1"/>
        <v>0</v>
      </c>
      <c r="BH613" s="1310"/>
      <c r="BI613" s="1314">
        <f t="shared" si="10"/>
        <v>0</v>
      </c>
      <c r="BJ613" s="1316"/>
      <c r="BK613" s="1308">
        <f t="shared" si="2"/>
        <v>0</v>
      </c>
      <c r="BL613" s="1310"/>
      <c r="BN613" s="1308">
        <f t="shared" si="3"/>
        <v>0</v>
      </c>
      <c r="BO613" s="1309"/>
      <c r="BP613" s="1309"/>
      <c r="BQ613" s="1309"/>
      <c r="BR613" s="1319"/>
      <c r="BS613" s="1308">
        <f t="shared" si="4"/>
        <v>0</v>
      </c>
      <c r="BT613" s="1309"/>
      <c r="BU613" s="1309"/>
      <c r="BV613" s="1309"/>
      <c r="BW613" s="1310"/>
      <c r="BX613" s="1308">
        <f t="shared" si="5"/>
        <v>0</v>
      </c>
      <c r="BY613" s="1309"/>
      <c r="BZ613" s="1309"/>
      <c r="CA613" s="1309"/>
      <c r="CB613" s="1310"/>
      <c r="CC613" s="1308">
        <f t="shared" si="6"/>
        <v>0</v>
      </c>
      <c r="CD613" s="1309"/>
      <c r="CE613" s="1309"/>
      <c r="CF613" s="1309"/>
      <c r="CG613" s="1310"/>
      <c r="CH613" s="1308">
        <f t="shared" si="7"/>
        <v>0</v>
      </c>
      <c r="CI613" s="1309"/>
      <c r="CJ613" s="1309"/>
      <c r="CK613" s="1309"/>
      <c r="CL613" s="1310"/>
      <c r="CM613" s="1317">
        <f t="shared" si="8"/>
        <v>0</v>
      </c>
      <c r="CN613" s="1318"/>
      <c r="CO613" s="1318"/>
      <c r="CP613" s="1318"/>
      <c r="CQ613" s="1319"/>
      <c r="CS613" s="1320">
        <f t="shared" si="11"/>
        <v>0</v>
      </c>
      <c r="CT613" s="1321"/>
      <c r="CU613" s="1321"/>
      <c r="CV613" s="1321"/>
      <c r="CW613" s="1322"/>
      <c r="CX613" s="1320">
        <f t="shared" si="12"/>
        <v>0</v>
      </c>
      <c r="CY613" s="1321"/>
      <c r="CZ613" s="1321"/>
      <c r="DA613" s="1321"/>
      <c r="DB613" s="1322"/>
      <c r="DC613" s="1320">
        <f t="shared" si="13"/>
        <v>0</v>
      </c>
      <c r="DD613" s="1321"/>
      <c r="DE613" s="1321"/>
      <c r="DF613" s="1321"/>
      <c r="DG613" s="1322"/>
      <c r="DH613" s="1320">
        <f t="shared" si="14"/>
        <v>0</v>
      </c>
      <c r="DI613" s="1321"/>
      <c r="DJ613" s="1321"/>
      <c r="DK613" s="1321"/>
      <c r="DL613" s="1322"/>
      <c r="DM613" s="1320">
        <f t="shared" si="15"/>
        <v>0</v>
      </c>
      <c r="DN613" s="1321"/>
      <c r="DO613" s="1321"/>
      <c r="DP613" s="1321"/>
      <c r="DQ613" s="1322"/>
      <c r="DR613" s="1320">
        <f t="shared" si="16"/>
        <v>0</v>
      </c>
      <c r="DS613" s="1321"/>
      <c r="DT613" s="1321"/>
      <c r="DU613" s="1321"/>
      <c r="DV613" s="1322"/>
    </row>
    <row r="614" spans="1:126" ht="12.95" customHeight="1">
      <c r="B614" t="s">
        <v>833</v>
      </c>
      <c r="C614"/>
      <c r="G614" s="1158"/>
      <c r="H614" s="1158"/>
      <c r="I614" s="1158"/>
      <c r="J614" s="1158"/>
      <c r="K614" s="1158"/>
      <c r="L614" s="1158"/>
      <c r="M614" s="1158"/>
      <c r="N614" s="1158"/>
      <c r="O614" s="1158"/>
      <c r="P614" s="1158"/>
      <c r="Q614" s="1158"/>
      <c r="R614" s="1158"/>
      <c r="U614" t="s">
        <v>833</v>
      </c>
      <c r="Z614" s="1065"/>
      <c r="AA614" s="1065"/>
      <c r="AB614" s="1065"/>
      <c r="AC614" s="1065"/>
      <c r="AD614" s="1065"/>
      <c r="AE614" s="1065"/>
      <c r="AF614" s="1065"/>
      <c r="AG614" s="1065"/>
      <c r="AH614" s="1065"/>
      <c r="AI614" s="1065"/>
      <c r="AJ614" s="1065"/>
      <c r="AK614" s="1065"/>
      <c r="AL614" s="303"/>
      <c r="BA614" s="41"/>
      <c r="BB614" s="41"/>
      <c r="BC614" s="41"/>
      <c r="BD614" s="41"/>
      <c r="BE614" s="1314">
        <f t="shared" si="9"/>
        <v>0</v>
      </c>
      <c r="BF614" s="1316"/>
      <c r="BG614" s="1308">
        <f t="shared" si="1"/>
        <v>0</v>
      </c>
      <c r="BH614" s="1310"/>
      <c r="BI614" s="1314">
        <f t="shared" si="10"/>
        <v>0</v>
      </c>
      <c r="BJ614" s="1316"/>
      <c r="BK614" s="1308">
        <f t="shared" si="2"/>
        <v>0</v>
      </c>
      <c r="BL614" s="1310"/>
      <c r="BN614" s="1308">
        <f t="shared" si="3"/>
        <v>0</v>
      </c>
      <c r="BO614" s="1309"/>
      <c r="BP614" s="1309"/>
      <c r="BQ614" s="1309"/>
      <c r="BR614" s="1319"/>
      <c r="BS614" s="1308">
        <f t="shared" si="4"/>
        <v>0</v>
      </c>
      <c r="BT614" s="1309"/>
      <c r="BU614" s="1309"/>
      <c r="BV614" s="1309"/>
      <c r="BW614" s="1310"/>
      <c r="BX614" s="1308">
        <f t="shared" si="5"/>
        <v>0</v>
      </c>
      <c r="BY614" s="1309"/>
      <c r="BZ614" s="1309"/>
      <c r="CA614" s="1309"/>
      <c r="CB614" s="1310"/>
      <c r="CC614" s="1308">
        <f t="shared" si="6"/>
        <v>0</v>
      </c>
      <c r="CD614" s="1309"/>
      <c r="CE614" s="1309"/>
      <c r="CF614" s="1309"/>
      <c r="CG614" s="1310"/>
      <c r="CH614" s="1308">
        <f t="shared" si="7"/>
        <v>0</v>
      </c>
      <c r="CI614" s="1309"/>
      <c r="CJ614" s="1309"/>
      <c r="CK614" s="1309"/>
      <c r="CL614" s="1310"/>
      <c r="CM614" s="1317">
        <f t="shared" si="8"/>
        <v>0</v>
      </c>
      <c r="CN614" s="1318"/>
      <c r="CO614" s="1318"/>
      <c r="CP614" s="1318"/>
      <c r="CQ614" s="1319"/>
      <c r="CS614" s="1320">
        <f t="shared" si="11"/>
        <v>0</v>
      </c>
      <c r="CT614" s="1321"/>
      <c r="CU614" s="1321"/>
      <c r="CV614" s="1321"/>
      <c r="CW614" s="1322"/>
      <c r="CX614" s="1320">
        <f t="shared" si="12"/>
        <v>0</v>
      </c>
      <c r="CY614" s="1321"/>
      <c r="CZ614" s="1321"/>
      <c r="DA614" s="1321"/>
      <c r="DB614" s="1322"/>
      <c r="DC614" s="1320">
        <f t="shared" si="13"/>
        <v>0</v>
      </c>
      <c r="DD614" s="1321"/>
      <c r="DE614" s="1321"/>
      <c r="DF614" s="1321"/>
      <c r="DG614" s="1322"/>
      <c r="DH614" s="1320">
        <f t="shared" si="14"/>
        <v>0</v>
      </c>
      <c r="DI614" s="1321"/>
      <c r="DJ614" s="1321"/>
      <c r="DK614" s="1321"/>
      <c r="DL614" s="1322"/>
      <c r="DM614" s="1320">
        <f t="shared" si="15"/>
        <v>0</v>
      </c>
      <c r="DN614" s="1321"/>
      <c r="DO614" s="1321"/>
      <c r="DP614" s="1321"/>
      <c r="DQ614" s="1322"/>
      <c r="DR614" s="1320">
        <f t="shared" si="16"/>
        <v>0</v>
      </c>
      <c r="DS614" s="1321"/>
      <c r="DT614" s="1321"/>
      <c r="DU614" s="1321"/>
      <c r="DV614" s="1322"/>
    </row>
    <row r="615" spans="1:126" ht="12.95" customHeight="1">
      <c r="B615" t="s">
        <v>650</v>
      </c>
      <c r="C615"/>
      <c r="G615" s="1307"/>
      <c r="H615" s="1307"/>
      <c r="I615" s="1307"/>
      <c r="J615" s="1307"/>
      <c r="K615" s="1307"/>
      <c r="L615" s="1307"/>
      <c r="O615" s="42" t="s">
        <v>818</v>
      </c>
      <c r="P615" s="1066"/>
      <c r="Q615" s="1066"/>
      <c r="R615" s="1066"/>
      <c r="U615" t="s">
        <v>650</v>
      </c>
      <c r="Z615" s="1307"/>
      <c r="AA615" s="1307"/>
      <c r="AB615" s="1307"/>
      <c r="AC615" s="1307"/>
      <c r="AD615" s="1307"/>
      <c r="AE615" s="1307"/>
      <c r="AH615" s="42" t="s">
        <v>818</v>
      </c>
      <c r="AI615" s="1066"/>
      <c r="AJ615" s="1066"/>
      <c r="AK615" s="1066"/>
      <c r="AZ615" s="41"/>
      <c r="BA615" s="41"/>
      <c r="BB615" s="41"/>
      <c r="BC615" s="41"/>
      <c r="BD615" s="41"/>
      <c r="BE615" s="1314">
        <f t="shared" si="9"/>
        <v>0</v>
      </c>
      <c r="BF615" s="1316"/>
      <c r="BG615" s="1308">
        <f t="shared" si="1"/>
        <v>0</v>
      </c>
      <c r="BH615" s="1310"/>
      <c r="BI615" s="1314">
        <f t="shared" si="10"/>
        <v>0</v>
      </c>
      <c r="BJ615" s="1316"/>
      <c r="BK615" s="1308">
        <f t="shared" si="2"/>
        <v>0</v>
      </c>
      <c r="BL615" s="1310"/>
      <c r="BN615" s="1308">
        <f t="shared" si="3"/>
        <v>0</v>
      </c>
      <c r="BO615" s="1309"/>
      <c r="BP615" s="1309"/>
      <c r="BQ615" s="1309"/>
      <c r="BR615" s="1319"/>
      <c r="BS615" s="1308">
        <f t="shared" si="4"/>
        <v>0</v>
      </c>
      <c r="BT615" s="1309"/>
      <c r="BU615" s="1309"/>
      <c r="BV615" s="1309"/>
      <c r="BW615" s="1310"/>
      <c r="BX615" s="1308">
        <f t="shared" si="5"/>
        <v>0</v>
      </c>
      <c r="BY615" s="1309"/>
      <c r="BZ615" s="1309"/>
      <c r="CA615" s="1309"/>
      <c r="CB615" s="1310"/>
      <c r="CC615" s="1308">
        <f t="shared" si="6"/>
        <v>0</v>
      </c>
      <c r="CD615" s="1309"/>
      <c r="CE615" s="1309"/>
      <c r="CF615" s="1309"/>
      <c r="CG615" s="1310"/>
      <c r="CH615" s="1308">
        <f t="shared" si="7"/>
        <v>0</v>
      </c>
      <c r="CI615" s="1309"/>
      <c r="CJ615" s="1309"/>
      <c r="CK615" s="1309"/>
      <c r="CL615" s="1310"/>
      <c r="CM615" s="1317">
        <f t="shared" si="8"/>
        <v>0</v>
      </c>
      <c r="CN615" s="1318"/>
      <c r="CO615" s="1318"/>
      <c r="CP615" s="1318"/>
      <c r="CQ615" s="1319"/>
      <c r="CS615" s="1320">
        <f t="shared" si="11"/>
        <v>0</v>
      </c>
      <c r="CT615" s="1321"/>
      <c r="CU615" s="1321"/>
      <c r="CV615" s="1321"/>
      <c r="CW615" s="1322"/>
      <c r="CX615" s="1320">
        <f t="shared" si="12"/>
        <v>0</v>
      </c>
      <c r="CY615" s="1321"/>
      <c r="CZ615" s="1321"/>
      <c r="DA615" s="1321"/>
      <c r="DB615" s="1322"/>
      <c r="DC615" s="1320">
        <f t="shared" si="13"/>
        <v>0</v>
      </c>
      <c r="DD615" s="1321"/>
      <c r="DE615" s="1321"/>
      <c r="DF615" s="1321"/>
      <c r="DG615" s="1322"/>
      <c r="DH615" s="1320">
        <f t="shared" si="14"/>
        <v>0</v>
      </c>
      <c r="DI615" s="1321"/>
      <c r="DJ615" s="1321"/>
      <c r="DK615" s="1321"/>
      <c r="DL615" s="1322"/>
      <c r="DM615" s="1320">
        <f t="shared" si="15"/>
        <v>0</v>
      </c>
      <c r="DN615" s="1321"/>
      <c r="DO615" s="1321"/>
      <c r="DP615" s="1321"/>
      <c r="DQ615" s="1322"/>
      <c r="DR615" s="1320">
        <f t="shared" si="16"/>
        <v>0</v>
      </c>
      <c r="DS615" s="1321"/>
      <c r="DT615" s="1321"/>
      <c r="DU615" s="1321"/>
      <c r="DV615" s="1322"/>
    </row>
    <row r="616" spans="1:126" ht="12.95" customHeight="1">
      <c r="B616" t="s">
        <v>834</v>
      </c>
      <c r="C616"/>
      <c r="H616" s="1158"/>
      <c r="I616" s="1158"/>
      <c r="J616" s="1158"/>
      <c r="K616" s="1158"/>
      <c r="L616" s="1158"/>
      <c r="M616" s="1158"/>
      <c r="N616" s="1158"/>
      <c r="O616" s="1158"/>
      <c r="P616" s="1158"/>
      <c r="Q616" s="1158"/>
      <c r="R616" s="1158"/>
      <c r="U616" t="s">
        <v>834</v>
      </c>
      <c r="AA616" s="1158"/>
      <c r="AB616" s="1158"/>
      <c r="AC616" s="1158"/>
      <c r="AD616" s="1158"/>
      <c r="AE616" s="1158"/>
      <c r="AF616" s="1158"/>
      <c r="AG616" s="1158"/>
      <c r="AH616" s="1158"/>
      <c r="AI616" s="1158"/>
      <c r="AJ616" s="1158"/>
      <c r="AK616" s="1158"/>
      <c r="AZ616" s="41"/>
      <c r="BA616" s="41"/>
      <c r="BB616" s="41"/>
      <c r="BC616" s="41"/>
      <c r="BD616" s="41"/>
      <c r="BE616" s="1314">
        <f t="shared" si="9"/>
        <v>0</v>
      </c>
      <c r="BF616" s="1316"/>
      <c r="BG616" s="1308">
        <f t="shared" si="1"/>
        <v>0</v>
      </c>
      <c r="BH616" s="1310"/>
      <c r="BI616" s="1314">
        <f t="shared" si="10"/>
        <v>0</v>
      </c>
      <c r="BJ616" s="1316"/>
      <c r="BK616" s="1308">
        <f t="shared" si="2"/>
        <v>0</v>
      </c>
      <c r="BL616" s="1310"/>
      <c r="BN616" s="1308">
        <f t="shared" si="3"/>
        <v>0</v>
      </c>
      <c r="BO616" s="1309"/>
      <c r="BP616" s="1309"/>
      <c r="BQ616" s="1309"/>
      <c r="BR616" s="1319"/>
      <c r="BS616" s="1308">
        <f t="shared" si="4"/>
        <v>0</v>
      </c>
      <c r="BT616" s="1309"/>
      <c r="BU616" s="1309"/>
      <c r="BV616" s="1309"/>
      <c r="BW616" s="1310"/>
      <c r="BX616" s="1308">
        <f t="shared" si="5"/>
        <v>0</v>
      </c>
      <c r="BY616" s="1309"/>
      <c r="BZ616" s="1309"/>
      <c r="CA616" s="1309"/>
      <c r="CB616" s="1310"/>
      <c r="CC616" s="1308">
        <f t="shared" si="6"/>
        <v>0</v>
      </c>
      <c r="CD616" s="1309"/>
      <c r="CE616" s="1309"/>
      <c r="CF616" s="1309"/>
      <c r="CG616" s="1310"/>
      <c r="CH616" s="1308">
        <f t="shared" si="7"/>
        <v>0</v>
      </c>
      <c r="CI616" s="1309"/>
      <c r="CJ616" s="1309"/>
      <c r="CK616" s="1309"/>
      <c r="CL616" s="1310"/>
      <c r="CM616" s="1317">
        <f t="shared" si="8"/>
        <v>0</v>
      </c>
      <c r="CN616" s="1318"/>
      <c r="CO616" s="1318"/>
      <c r="CP616" s="1318"/>
      <c r="CQ616" s="1319"/>
      <c r="CS616" s="1320">
        <f t="shared" si="11"/>
        <v>0</v>
      </c>
      <c r="CT616" s="1321"/>
      <c r="CU616" s="1321"/>
      <c r="CV616" s="1321"/>
      <c r="CW616" s="1322"/>
      <c r="CX616" s="1320">
        <f t="shared" si="12"/>
        <v>0</v>
      </c>
      <c r="CY616" s="1321"/>
      <c r="CZ616" s="1321"/>
      <c r="DA616" s="1321"/>
      <c r="DB616" s="1322"/>
      <c r="DC616" s="1320">
        <f t="shared" si="13"/>
        <v>0</v>
      </c>
      <c r="DD616" s="1321"/>
      <c r="DE616" s="1321"/>
      <c r="DF616" s="1321"/>
      <c r="DG616" s="1322"/>
      <c r="DH616" s="1320">
        <f t="shared" si="14"/>
        <v>0</v>
      </c>
      <c r="DI616" s="1321"/>
      <c r="DJ616" s="1321"/>
      <c r="DK616" s="1321"/>
      <c r="DL616" s="1322"/>
      <c r="DM616" s="1320">
        <f t="shared" si="15"/>
        <v>0</v>
      </c>
      <c r="DN616" s="1321"/>
      <c r="DO616" s="1321"/>
      <c r="DP616" s="1321"/>
      <c r="DQ616" s="1322"/>
      <c r="DR616" s="1320">
        <f t="shared" si="16"/>
        <v>0</v>
      </c>
      <c r="DS616" s="1321"/>
      <c r="DT616" s="1321"/>
      <c r="DU616" s="1321"/>
      <c r="DV616" s="1322"/>
    </row>
    <row r="617" spans="1:126" ht="12.95" customHeight="1">
      <c r="B617" t="s">
        <v>836</v>
      </c>
      <c r="C617"/>
      <c r="N617" s="1149" t="s">
        <v>482</v>
      </c>
      <c r="O617" s="1149"/>
      <c r="U617" t="s">
        <v>836</v>
      </c>
      <c r="AG617" s="1149" t="s">
        <v>482</v>
      </c>
      <c r="AH617" s="1149"/>
      <c r="AZ617" s="41"/>
      <c r="BA617" s="41"/>
      <c r="BB617" s="41"/>
      <c r="BC617" s="41"/>
      <c r="BD617" s="41"/>
      <c r="BE617" s="1314">
        <f t="shared" si="9"/>
        <v>0</v>
      </c>
      <c r="BF617" s="1316"/>
      <c r="BG617" s="1308">
        <f t="shared" si="1"/>
        <v>0</v>
      </c>
      <c r="BH617" s="1310"/>
      <c r="BI617" s="1314">
        <f t="shared" si="10"/>
        <v>0</v>
      </c>
      <c r="BJ617" s="1316"/>
      <c r="BK617" s="1308">
        <f t="shared" si="2"/>
        <v>0</v>
      </c>
      <c r="BL617" s="1310"/>
      <c r="BN617" s="1308">
        <f t="shared" si="3"/>
        <v>0</v>
      </c>
      <c r="BO617" s="1309"/>
      <c r="BP617" s="1309"/>
      <c r="BQ617" s="1309"/>
      <c r="BR617" s="1319"/>
      <c r="BS617" s="1308">
        <f t="shared" si="4"/>
        <v>0</v>
      </c>
      <c r="BT617" s="1309"/>
      <c r="BU617" s="1309"/>
      <c r="BV617" s="1309"/>
      <c r="BW617" s="1310"/>
      <c r="BX617" s="1308">
        <f t="shared" si="5"/>
        <v>0</v>
      </c>
      <c r="BY617" s="1309"/>
      <c r="BZ617" s="1309"/>
      <c r="CA617" s="1309"/>
      <c r="CB617" s="1310"/>
      <c r="CC617" s="1308">
        <f t="shared" si="6"/>
        <v>0</v>
      </c>
      <c r="CD617" s="1309"/>
      <c r="CE617" s="1309"/>
      <c r="CF617" s="1309"/>
      <c r="CG617" s="1310"/>
      <c r="CH617" s="1308">
        <f t="shared" si="7"/>
        <v>0</v>
      </c>
      <c r="CI617" s="1309"/>
      <c r="CJ617" s="1309"/>
      <c r="CK617" s="1309"/>
      <c r="CL617" s="1310"/>
      <c r="CM617" s="1317">
        <f t="shared" si="8"/>
        <v>0</v>
      </c>
      <c r="CN617" s="1318"/>
      <c r="CO617" s="1318"/>
      <c r="CP617" s="1318"/>
      <c r="CQ617" s="1319"/>
      <c r="CS617" s="1320">
        <f t="shared" si="11"/>
        <v>0</v>
      </c>
      <c r="CT617" s="1321"/>
      <c r="CU617" s="1321"/>
      <c r="CV617" s="1321"/>
      <c r="CW617" s="1322"/>
      <c r="CX617" s="1320">
        <f t="shared" si="12"/>
        <v>0</v>
      </c>
      <c r="CY617" s="1321"/>
      <c r="CZ617" s="1321"/>
      <c r="DA617" s="1321"/>
      <c r="DB617" s="1322"/>
      <c r="DC617" s="1320">
        <f t="shared" si="13"/>
        <v>0</v>
      </c>
      <c r="DD617" s="1321"/>
      <c r="DE617" s="1321"/>
      <c r="DF617" s="1321"/>
      <c r="DG617" s="1322"/>
      <c r="DH617" s="1320">
        <f t="shared" si="14"/>
        <v>0</v>
      </c>
      <c r="DI617" s="1321"/>
      <c r="DJ617" s="1321"/>
      <c r="DK617" s="1321"/>
      <c r="DL617" s="1322"/>
      <c r="DM617" s="1320">
        <f t="shared" si="15"/>
        <v>0</v>
      </c>
      <c r="DN617" s="1321"/>
      <c r="DO617" s="1321"/>
      <c r="DP617" s="1321"/>
      <c r="DQ617" s="1322"/>
      <c r="DR617" s="1320">
        <f t="shared" si="16"/>
        <v>0</v>
      </c>
      <c r="DS617" s="1321"/>
      <c r="DT617" s="1321"/>
      <c r="DU617" s="1321"/>
      <c r="DV617" s="1322"/>
    </row>
    <row r="618" spans="1:126" ht="12.95" customHeight="1">
      <c r="C618"/>
      <c r="AZ618" s="41"/>
      <c r="BA618" s="41"/>
      <c r="BB618" s="41"/>
      <c r="BC618" s="41"/>
      <c r="BD618" s="41"/>
      <c r="BE618" s="1314">
        <f t="shared" si="9"/>
        <v>0</v>
      </c>
      <c r="BF618" s="1316"/>
      <c r="BG618" s="1308">
        <f t="shared" si="1"/>
        <v>0</v>
      </c>
      <c r="BH618" s="1310"/>
      <c r="BI618" s="1314">
        <f t="shared" si="10"/>
        <v>0</v>
      </c>
      <c r="BJ618" s="1316"/>
      <c r="BK618" s="1308">
        <f t="shared" si="2"/>
        <v>0</v>
      </c>
      <c r="BL618" s="1310"/>
      <c r="BN618" s="1308">
        <f t="shared" si="3"/>
        <v>0</v>
      </c>
      <c r="BO618" s="1309"/>
      <c r="BP618" s="1309"/>
      <c r="BQ618" s="1309"/>
      <c r="BR618" s="1319"/>
      <c r="BS618" s="1308">
        <f t="shared" si="4"/>
        <v>0</v>
      </c>
      <c r="BT618" s="1309"/>
      <c r="BU618" s="1309"/>
      <c r="BV618" s="1309"/>
      <c r="BW618" s="1310"/>
      <c r="BX618" s="1308">
        <f t="shared" si="5"/>
        <v>0</v>
      </c>
      <c r="BY618" s="1309"/>
      <c r="BZ618" s="1309"/>
      <c r="CA618" s="1309"/>
      <c r="CB618" s="1310"/>
      <c r="CC618" s="1308">
        <f t="shared" si="6"/>
        <v>0</v>
      </c>
      <c r="CD618" s="1309"/>
      <c r="CE618" s="1309"/>
      <c r="CF618" s="1309"/>
      <c r="CG618" s="1310"/>
      <c r="CH618" s="1308">
        <f t="shared" si="7"/>
        <v>0</v>
      </c>
      <c r="CI618" s="1309"/>
      <c r="CJ618" s="1309"/>
      <c r="CK618" s="1309"/>
      <c r="CL618" s="1310"/>
      <c r="CM618" s="1317">
        <f t="shared" si="8"/>
        <v>0</v>
      </c>
      <c r="CN618" s="1318"/>
      <c r="CO618" s="1318"/>
      <c r="CP618" s="1318"/>
      <c r="CQ618" s="1319"/>
      <c r="CS618" s="1320">
        <f t="shared" si="11"/>
        <v>0</v>
      </c>
      <c r="CT618" s="1321"/>
      <c r="CU618" s="1321"/>
      <c r="CV618" s="1321"/>
      <c r="CW618" s="1322"/>
      <c r="CX618" s="1320">
        <f t="shared" si="12"/>
        <v>0</v>
      </c>
      <c r="CY618" s="1321"/>
      <c r="CZ618" s="1321"/>
      <c r="DA618" s="1321"/>
      <c r="DB618" s="1322"/>
      <c r="DC618" s="1320">
        <f t="shared" si="13"/>
        <v>0</v>
      </c>
      <c r="DD618" s="1321"/>
      <c r="DE618" s="1321"/>
      <c r="DF618" s="1321"/>
      <c r="DG618" s="1322"/>
      <c r="DH618" s="1320">
        <f t="shared" si="14"/>
        <v>0</v>
      </c>
      <c r="DI618" s="1321"/>
      <c r="DJ618" s="1321"/>
      <c r="DK618" s="1321"/>
      <c r="DL618" s="1322"/>
      <c r="DM618" s="1320">
        <f t="shared" si="15"/>
        <v>0</v>
      </c>
      <c r="DN618" s="1321"/>
      <c r="DO618" s="1321"/>
      <c r="DP618" s="1321"/>
      <c r="DQ618" s="1322"/>
      <c r="DR618" s="1320">
        <f t="shared" si="16"/>
        <v>0</v>
      </c>
      <c r="DS618" s="1321"/>
      <c r="DT618" s="1321"/>
      <c r="DU618" s="1321"/>
      <c r="DV618" s="1322"/>
    </row>
    <row r="619" spans="1:126" ht="12.95" customHeight="1">
      <c r="A619" s="988" t="s">
        <v>126</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314">
        <f t="shared" si="9"/>
        <v>0</v>
      </c>
      <c r="BF619" s="1316"/>
      <c r="BG619" s="1308">
        <f t="shared" si="1"/>
        <v>0</v>
      </c>
      <c r="BH619" s="1310"/>
      <c r="BI619" s="1314">
        <f t="shared" si="10"/>
        <v>0</v>
      </c>
      <c r="BJ619" s="1316"/>
      <c r="BK619" s="1308">
        <f t="shared" si="2"/>
        <v>0</v>
      </c>
      <c r="BL619" s="1310"/>
      <c r="BN619" s="1308">
        <f t="shared" si="3"/>
        <v>0</v>
      </c>
      <c r="BO619" s="1309"/>
      <c r="BP619" s="1309"/>
      <c r="BQ619" s="1309"/>
      <c r="BR619" s="1319"/>
      <c r="BS619" s="1308">
        <f t="shared" si="4"/>
        <v>0</v>
      </c>
      <c r="BT619" s="1309"/>
      <c r="BU619" s="1309"/>
      <c r="BV619" s="1309"/>
      <c r="BW619" s="1310"/>
      <c r="BX619" s="1308">
        <f t="shared" si="5"/>
        <v>0</v>
      </c>
      <c r="BY619" s="1309"/>
      <c r="BZ619" s="1309"/>
      <c r="CA619" s="1309"/>
      <c r="CB619" s="1310"/>
      <c r="CC619" s="1308">
        <f t="shared" si="6"/>
        <v>0</v>
      </c>
      <c r="CD619" s="1309"/>
      <c r="CE619" s="1309"/>
      <c r="CF619" s="1309"/>
      <c r="CG619" s="1310"/>
      <c r="CH619" s="1308">
        <f t="shared" si="7"/>
        <v>0</v>
      </c>
      <c r="CI619" s="1309"/>
      <c r="CJ619" s="1309"/>
      <c r="CK619" s="1309"/>
      <c r="CL619" s="1310"/>
      <c r="CM619" s="1317">
        <f t="shared" si="8"/>
        <v>0</v>
      </c>
      <c r="CN619" s="1318"/>
      <c r="CO619" s="1318"/>
      <c r="CP619" s="1318"/>
      <c r="CQ619" s="1319"/>
      <c r="CS619" s="1320">
        <f t="shared" si="11"/>
        <v>0</v>
      </c>
      <c r="CT619" s="1321"/>
      <c r="CU619" s="1321"/>
      <c r="CV619" s="1321"/>
      <c r="CW619" s="1322"/>
      <c r="CX619" s="1320">
        <f t="shared" si="12"/>
        <v>0</v>
      </c>
      <c r="CY619" s="1321"/>
      <c r="CZ619" s="1321"/>
      <c r="DA619" s="1321"/>
      <c r="DB619" s="1322"/>
      <c r="DC619" s="1320">
        <f t="shared" si="13"/>
        <v>0</v>
      </c>
      <c r="DD619" s="1321"/>
      <c r="DE619" s="1321"/>
      <c r="DF619" s="1321"/>
      <c r="DG619" s="1322"/>
      <c r="DH619" s="1320">
        <f t="shared" si="14"/>
        <v>0</v>
      </c>
      <c r="DI619" s="1321"/>
      <c r="DJ619" s="1321"/>
      <c r="DK619" s="1321"/>
      <c r="DL619" s="1322"/>
      <c r="DM619" s="1320">
        <f t="shared" si="15"/>
        <v>0</v>
      </c>
      <c r="DN619" s="1321"/>
      <c r="DO619" s="1321"/>
      <c r="DP619" s="1321"/>
      <c r="DQ619" s="1322"/>
      <c r="DR619" s="1320">
        <f t="shared" si="16"/>
        <v>0</v>
      </c>
      <c r="DS619" s="1321"/>
      <c r="DT619" s="1321"/>
      <c r="DU619" s="1321"/>
      <c r="DV619" s="1322"/>
    </row>
    <row r="620" spans="1:126" ht="12.95"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314">
        <f t="shared" si="9"/>
        <v>0</v>
      </c>
      <c r="BF620" s="1316"/>
      <c r="BG620" s="1308">
        <f t="shared" si="1"/>
        <v>0</v>
      </c>
      <c r="BH620" s="1310"/>
      <c r="BI620" s="1314">
        <f t="shared" si="10"/>
        <v>0</v>
      </c>
      <c r="BJ620" s="1316"/>
      <c r="BK620" s="1308">
        <f t="shared" si="2"/>
        <v>0</v>
      </c>
      <c r="BL620" s="1310"/>
      <c r="BN620" s="1308">
        <f t="shared" si="3"/>
        <v>0</v>
      </c>
      <c r="BO620" s="1309"/>
      <c r="BP620" s="1309"/>
      <c r="BQ620" s="1309"/>
      <c r="BR620" s="1319"/>
      <c r="BS620" s="1308">
        <f t="shared" si="4"/>
        <v>0</v>
      </c>
      <c r="BT620" s="1309"/>
      <c r="BU620" s="1309"/>
      <c r="BV620" s="1309"/>
      <c r="BW620" s="1310"/>
      <c r="BX620" s="1308">
        <f t="shared" si="5"/>
        <v>0</v>
      </c>
      <c r="BY620" s="1309"/>
      <c r="BZ620" s="1309"/>
      <c r="CA620" s="1309"/>
      <c r="CB620" s="1310"/>
      <c r="CC620" s="1308">
        <f t="shared" si="6"/>
        <v>0</v>
      </c>
      <c r="CD620" s="1309"/>
      <c r="CE620" s="1309"/>
      <c r="CF620" s="1309"/>
      <c r="CG620" s="1310"/>
      <c r="CH620" s="1308">
        <f t="shared" si="7"/>
        <v>0</v>
      </c>
      <c r="CI620" s="1309"/>
      <c r="CJ620" s="1309"/>
      <c r="CK620" s="1309"/>
      <c r="CL620" s="1310"/>
      <c r="CM620" s="1317">
        <f t="shared" si="8"/>
        <v>0</v>
      </c>
      <c r="CN620" s="1318"/>
      <c r="CO620" s="1318"/>
      <c r="CP620" s="1318"/>
      <c r="CQ620" s="1319"/>
      <c r="CS620" s="1320">
        <f t="shared" si="11"/>
        <v>0</v>
      </c>
      <c r="CT620" s="1321"/>
      <c r="CU620" s="1321"/>
      <c r="CV620" s="1321"/>
      <c r="CW620" s="1322"/>
      <c r="CX620" s="1320">
        <f t="shared" si="12"/>
        <v>0</v>
      </c>
      <c r="CY620" s="1321"/>
      <c r="CZ620" s="1321"/>
      <c r="DA620" s="1321"/>
      <c r="DB620" s="1322"/>
      <c r="DC620" s="1320">
        <f t="shared" si="13"/>
        <v>0</v>
      </c>
      <c r="DD620" s="1321"/>
      <c r="DE620" s="1321"/>
      <c r="DF620" s="1321"/>
      <c r="DG620" s="1322"/>
      <c r="DH620" s="1320">
        <f t="shared" si="14"/>
        <v>0</v>
      </c>
      <c r="DI620" s="1321"/>
      <c r="DJ620" s="1321"/>
      <c r="DK620" s="1321"/>
      <c r="DL620" s="1322"/>
      <c r="DM620" s="1320">
        <f t="shared" si="15"/>
        <v>0</v>
      </c>
      <c r="DN620" s="1321"/>
      <c r="DO620" s="1321"/>
      <c r="DP620" s="1321"/>
      <c r="DQ620" s="1322"/>
      <c r="DR620" s="1320">
        <f t="shared" si="16"/>
        <v>0</v>
      </c>
      <c r="DS620" s="1321"/>
      <c r="DT620" s="1321"/>
      <c r="DU620" s="1321"/>
      <c r="DV620" s="1322"/>
    </row>
    <row r="621" spans="1:126" ht="12.95" customHeight="1">
      <c r="C621"/>
      <c r="AZ621" s="41"/>
      <c r="BA621" s="41"/>
      <c r="BB621" s="41"/>
      <c r="BC621" s="41"/>
      <c r="BD621" s="41"/>
      <c r="BE621" s="1314">
        <f t="shared" si="9"/>
        <v>0</v>
      </c>
      <c r="BF621" s="1316"/>
      <c r="BG621" s="1308">
        <f t="shared" si="1"/>
        <v>0</v>
      </c>
      <c r="BH621" s="1310"/>
      <c r="BI621" s="1314">
        <f t="shared" si="10"/>
        <v>0</v>
      </c>
      <c r="BJ621" s="1316"/>
      <c r="BK621" s="1308">
        <f t="shared" si="2"/>
        <v>0</v>
      </c>
      <c r="BL621" s="1310"/>
      <c r="BN621" s="1308">
        <f t="shared" si="3"/>
        <v>0</v>
      </c>
      <c r="BO621" s="1309"/>
      <c r="BP621" s="1309"/>
      <c r="BQ621" s="1309"/>
      <c r="BR621" s="1319"/>
      <c r="BS621" s="1308">
        <f t="shared" si="4"/>
        <v>0</v>
      </c>
      <c r="BT621" s="1309"/>
      <c r="BU621" s="1309"/>
      <c r="BV621" s="1309"/>
      <c r="BW621" s="1310"/>
      <c r="BX621" s="1308">
        <f t="shared" si="5"/>
        <v>0</v>
      </c>
      <c r="BY621" s="1309"/>
      <c r="BZ621" s="1309"/>
      <c r="CA621" s="1309"/>
      <c r="CB621" s="1310"/>
      <c r="CC621" s="1308">
        <f t="shared" si="6"/>
        <v>0</v>
      </c>
      <c r="CD621" s="1309"/>
      <c r="CE621" s="1309"/>
      <c r="CF621" s="1309"/>
      <c r="CG621" s="1310"/>
      <c r="CH621" s="1308">
        <f t="shared" si="7"/>
        <v>0</v>
      </c>
      <c r="CI621" s="1309"/>
      <c r="CJ621" s="1309"/>
      <c r="CK621" s="1309"/>
      <c r="CL621" s="1310"/>
      <c r="CM621" s="1317">
        <f t="shared" si="8"/>
        <v>0</v>
      </c>
      <c r="CN621" s="1318"/>
      <c r="CO621" s="1318"/>
      <c r="CP621" s="1318"/>
      <c r="CQ621" s="1319"/>
      <c r="CS621" s="1320">
        <f t="shared" si="11"/>
        <v>0</v>
      </c>
      <c r="CT621" s="1321"/>
      <c r="CU621" s="1321"/>
      <c r="CV621" s="1321"/>
      <c r="CW621" s="1322"/>
      <c r="CX621" s="1320">
        <f t="shared" si="12"/>
        <v>0</v>
      </c>
      <c r="CY621" s="1321"/>
      <c r="CZ621" s="1321"/>
      <c r="DA621" s="1321"/>
      <c r="DB621" s="1322"/>
      <c r="DC621" s="1320">
        <f t="shared" si="13"/>
        <v>0</v>
      </c>
      <c r="DD621" s="1321"/>
      <c r="DE621" s="1321"/>
      <c r="DF621" s="1321"/>
      <c r="DG621" s="1322"/>
      <c r="DH621" s="1320">
        <f t="shared" si="14"/>
        <v>0</v>
      </c>
      <c r="DI621" s="1321"/>
      <c r="DJ621" s="1321"/>
      <c r="DK621" s="1321"/>
      <c r="DL621" s="1322"/>
      <c r="DM621" s="1320">
        <f t="shared" si="15"/>
        <v>0</v>
      </c>
      <c r="DN621" s="1321"/>
      <c r="DO621" s="1321"/>
      <c r="DP621" s="1321"/>
      <c r="DQ621" s="1322"/>
      <c r="DR621" s="1320">
        <f t="shared" si="16"/>
        <v>0</v>
      </c>
      <c r="DS621" s="1321"/>
      <c r="DT621" s="1321"/>
      <c r="DU621" s="1321"/>
      <c r="DV621" s="1322"/>
    </row>
    <row r="622" spans="1:126" ht="12.95" customHeight="1">
      <c r="A622" s="3" t="s">
        <v>653</v>
      </c>
      <c r="B622" s="3"/>
      <c r="C622" s="3" t="s">
        <v>837</v>
      </c>
      <c r="AZ622" s="41"/>
      <c r="BA622" s="41"/>
      <c r="BB622" s="41"/>
      <c r="BC622" s="41"/>
      <c r="BD622" s="41"/>
      <c r="BE622" s="1314">
        <f t="shared" si="9"/>
        <v>0</v>
      </c>
      <c r="BF622" s="1316"/>
      <c r="BG622" s="1308">
        <f t="shared" si="1"/>
        <v>0</v>
      </c>
      <c r="BH622" s="1310"/>
      <c r="BI622" s="1314">
        <f t="shared" si="10"/>
        <v>0</v>
      </c>
      <c r="BJ622" s="1316"/>
      <c r="BK622" s="1308">
        <f t="shared" si="2"/>
        <v>0</v>
      </c>
      <c r="BL622" s="1310"/>
      <c r="BN622" s="1308">
        <f t="shared" si="3"/>
        <v>0</v>
      </c>
      <c r="BO622" s="1309"/>
      <c r="BP622" s="1309"/>
      <c r="BQ622" s="1309"/>
      <c r="BR622" s="1319"/>
      <c r="BS622" s="1308">
        <f t="shared" si="4"/>
        <v>0</v>
      </c>
      <c r="BT622" s="1309"/>
      <c r="BU622" s="1309"/>
      <c r="BV622" s="1309"/>
      <c r="BW622" s="1310"/>
      <c r="BX622" s="1308">
        <f t="shared" si="5"/>
        <v>0</v>
      </c>
      <c r="BY622" s="1309"/>
      <c r="BZ622" s="1309"/>
      <c r="CA622" s="1309"/>
      <c r="CB622" s="1310"/>
      <c r="CC622" s="1308">
        <f t="shared" si="6"/>
        <v>0</v>
      </c>
      <c r="CD622" s="1309"/>
      <c r="CE622" s="1309"/>
      <c r="CF622" s="1309"/>
      <c r="CG622" s="1310"/>
      <c r="CH622" s="1308">
        <f t="shared" si="7"/>
        <v>0</v>
      </c>
      <c r="CI622" s="1309"/>
      <c r="CJ622" s="1309"/>
      <c r="CK622" s="1309"/>
      <c r="CL622" s="1310"/>
      <c r="CM622" s="1317">
        <f t="shared" si="8"/>
        <v>0</v>
      </c>
      <c r="CN622" s="1318"/>
      <c r="CO622" s="1318"/>
      <c r="CP622" s="1318"/>
      <c r="CQ622" s="1319"/>
      <c r="CS622" s="1320">
        <f t="shared" si="11"/>
        <v>0</v>
      </c>
      <c r="CT622" s="1321"/>
      <c r="CU622" s="1321"/>
      <c r="CV622" s="1321"/>
      <c r="CW622" s="1322"/>
      <c r="CX622" s="1320">
        <f t="shared" si="12"/>
        <v>0</v>
      </c>
      <c r="CY622" s="1321"/>
      <c r="CZ622" s="1321"/>
      <c r="DA622" s="1321"/>
      <c r="DB622" s="1322"/>
      <c r="DC622" s="1320">
        <f t="shared" si="13"/>
        <v>0</v>
      </c>
      <c r="DD622" s="1321"/>
      <c r="DE622" s="1321"/>
      <c r="DF622" s="1321"/>
      <c r="DG622" s="1322"/>
      <c r="DH622" s="1320">
        <f t="shared" si="14"/>
        <v>0</v>
      </c>
      <c r="DI622" s="1321"/>
      <c r="DJ622" s="1321"/>
      <c r="DK622" s="1321"/>
      <c r="DL622" s="1322"/>
      <c r="DM622" s="1320">
        <f t="shared" si="15"/>
        <v>0</v>
      </c>
      <c r="DN622" s="1321"/>
      <c r="DO622" s="1321"/>
      <c r="DP622" s="1321"/>
      <c r="DQ622" s="1322"/>
      <c r="DR622" s="1320">
        <f t="shared" si="16"/>
        <v>0</v>
      </c>
      <c r="DS622" s="1321"/>
      <c r="DT622" s="1321"/>
      <c r="DU622" s="1321"/>
      <c r="DV622" s="1322"/>
    </row>
    <row r="623" spans="1:126" ht="12.95" customHeight="1">
      <c r="A623" s="3"/>
      <c r="B623" s="3"/>
      <c r="C623" s="3"/>
      <c r="AZ623" s="41"/>
      <c r="BA623" s="41"/>
      <c r="BB623" s="41"/>
      <c r="BC623" s="41"/>
      <c r="BD623" s="41"/>
      <c r="BE623" s="1314">
        <f t="shared" si="9"/>
        <v>0</v>
      </c>
      <c r="BF623" s="1316"/>
      <c r="BG623" s="1308">
        <f t="shared" si="1"/>
        <v>0</v>
      </c>
      <c r="BH623" s="1310"/>
      <c r="BI623" s="1314">
        <f t="shared" si="10"/>
        <v>0</v>
      </c>
      <c r="BJ623" s="1316"/>
      <c r="BK623" s="1308">
        <f t="shared" si="2"/>
        <v>0</v>
      </c>
      <c r="BL623" s="1310"/>
      <c r="BN623" s="1308">
        <f t="shared" si="3"/>
        <v>0</v>
      </c>
      <c r="BO623" s="1309"/>
      <c r="BP623" s="1309"/>
      <c r="BQ623" s="1309"/>
      <c r="BR623" s="1319"/>
      <c r="BS623" s="1308">
        <f t="shared" si="4"/>
        <v>0</v>
      </c>
      <c r="BT623" s="1309"/>
      <c r="BU623" s="1309"/>
      <c r="BV623" s="1309"/>
      <c r="BW623" s="1310"/>
      <c r="BX623" s="1308">
        <f t="shared" si="5"/>
        <v>0</v>
      </c>
      <c r="BY623" s="1309"/>
      <c r="BZ623" s="1309"/>
      <c r="CA623" s="1309"/>
      <c r="CB623" s="1310"/>
      <c r="CC623" s="1308">
        <f t="shared" si="6"/>
        <v>0</v>
      </c>
      <c r="CD623" s="1309"/>
      <c r="CE623" s="1309"/>
      <c r="CF623" s="1309"/>
      <c r="CG623" s="1310"/>
      <c r="CH623" s="1308">
        <f t="shared" si="7"/>
        <v>0</v>
      </c>
      <c r="CI623" s="1309"/>
      <c r="CJ623" s="1309"/>
      <c r="CK623" s="1309"/>
      <c r="CL623" s="1310"/>
      <c r="CM623" s="1317">
        <f t="shared" si="8"/>
        <v>0</v>
      </c>
      <c r="CN623" s="1318"/>
      <c r="CO623" s="1318"/>
      <c r="CP623" s="1318"/>
      <c r="CQ623" s="1319"/>
      <c r="CS623" s="1320">
        <f t="shared" si="11"/>
        <v>0</v>
      </c>
      <c r="CT623" s="1321"/>
      <c r="CU623" s="1321"/>
      <c r="CV623" s="1321"/>
      <c r="CW623" s="1322"/>
      <c r="CX623" s="1320">
        <f t="shared" si="12"/>
        <v>0</v>
      </c>
      <c r="CY623" s="1321"/>
      <c r="CZ623" s="1321"/>
      <c r="DA623" s="1321"/>
      <c r="DB623" s="1322"/>
      <c r="DC623" s="1320">
        <f t="shared" si="13"/>
        <v>0</v>
      </c>
      <c r="DD623" s="1321"/>
      <c r="DE623" s="1321"/>
      <c r="DF623" s="1321"/>
      <c r="DG623" s="1322"/>
      <c r="DH623" s="1320">
        <f t="shared" si="14"/>
        <v>0</v>
      </c>
      <c r="DI623" s="1321"/>
      <c r="DJ623" s="1321"/>
      <c r="DK623" s="1321"/>
      <c r="DL623" s="1322"/>
      <c r="DM623" s="1320">
        <f t="shared" si="15"/>
        <v>0</v>
      </c>
      <c r="DN623" s="1321"/>
      <c r="DO623" s="1321"/>
      <c r="DP623" s="1321"/>
      <c r="DQ623" s="1322"/>
      <c r="DR623" s="1320">
        <f t="shared" si="16"/>
        <v>0</v>
      </c>
      <c r="DS623" s="1321"/>
      <c r="DT623" s="1321"/>
      <c r="DU623" s="1321"/>
      <c r="DV623" s="1322"/>
    </row>
    <row r="624" spans="1:126" ht="12.95" customHeight="1">
      <c r="C624" s="3" t="s">
        <v>2111</v>
      </c>
      <c r="AZ624" s="41"/>
      <c r="BA624" s="41"/>
      <c r="BB624" s="41"/>
      <c r="BC624" s="41"/>
      <c r="BD624" s="41"/>
      <c r="BE624" s="1314">
        <f t="shared" ref="BE624:BE633" si="17">IF(AND(AH727&lt;=0.5,AH727&gt;=0.36),1,0)</f>
        <v>0</v>
      </c>
      <c r="BF624" s="1316"/>
      <c r="BG624" s="1308">
        <f t="shared" ref="BG624:BG633" si="18">IF(BE624=1,G727,0)</f>
        <v>0</v>
      </c>
      <c r="BH624" s="1310"/>
      <c r="BI624" s="1314">
        <f t="shared" ref="BI624:BI633" si="19">IF(AND(AH727&lt;=0.35,AH727&gt;0),1,0)</f>
        <v>0</v>
      </c>
      <c r="BJ624" s="1316"/>
      <c r="BK624" s="1308">
        <f t="shared" ref="BK624:BK633" si="20">IF(BI624=1,G727,0)</f>
        <v>0</v>
      </c>
      <c r="BL624" s="1310"/>
      <c r="BN624" s="1308">
        <f t="shared" si="3"/>
        <v>0</v>
      </c>
      <c r="BO624" s="1309"/>
      <c r="BP624" s="1309"/>
      <c r="BQ624" s="1309"/>
      <c r="BR624" s="1319"/>
      <c r="BS624" s="1308">
        <f t="shared" si="4"/>
        <v>0</v>
      </c>
      <c r="BT624" s="1309"/>
      <c r="BU624" s="1309"/>
      <c r="BV624" s="1309"/>
      <c r="BW624" s="1310"/>
      <c r="BX624" s="1308">
        <f t="shared" si="5"/>
        <v>0</v>
      </c>
      <c r="BY624" s="1309"/>
      <c r="BZ624" s="1309"/>
      <c r="CA624" s="1309"/>
      <c r="CB624" s="1310"/>
      <c r="CC624" s="1308">
        <f t="shared" si="6"/>
        <v>0</v>
      </c>
      <c r="CD624" s="1309"/>
      <c r="CE624" s="1309"/>
      <c r="CF624" s="1309"/>
      <c r="CG624" s="1310"/>
      <c r="CH624" s="1308">
        <f t="shared" si="7"/>
        <v>0</v>
      </c>
      <c r="CI624" s="1309"/>
      <c r="CJ624" s="1309"/>
      <c r="CK624" s="1309"/>
      <c r="CL624" s="1310"/>
      <c r="CM624" s="1317">
        <f t="shared" si="8"/>
        <v>0</v>
      </c>
      <c r="CN624" s="1318"/>
      <c r="CO624" s="1318"/>
      <c r="CP624" s="1318"/>
      <c r="CQ624" s="1319"/>
      <c r="CS624" s="1320">
        <f t="shared" ref="CS624:CS633" si="21">IF(AND(B727="SRO/Studio",AH727&lt;=0.3),G727,0)</f>
        <v>0</v>
      </c>
      <c r="CT624" s="1321"/>
      <c r="CU624" s="1321"/>
      <c r="CV624" s="1321"/>
      <c r="CW624" s="1322"/>
      <c r="CX624" s="1320">
        <f t="shared" ref="CX624:CX633" si="22">IF(AND(B727="1 Bedroom",AH727&lt;=0.3),G727,0)</f>
        <v>0</v>
      </c>
      <c r="CY624" s="1321"/>
      <c r="CZ624" s="1321"/>
      <c r="DA624" s="1321"/>
      <c r="DB624" s="1322"/>
      <c r="DC624" s="1320">
        <f t="shared" ref="DC624:DC633" si="23">IF(AND(B727="2 Bedrooms",AH727&lt;=0.3),G727,0)</f>
        <v>0</v>
      </c>
      <c r="DD624" s="1321"/>
      <c r="DE624" s="1321"/>
      <c r="DF624" s="1321"/>
      <c r="DG624" s="1322"/>
      <c r="DH624" s="1320">
        <f t="shared" ref="DH624:DH633" si="24">IF(AND(B727="3 Bedrooms",AH727&lt;=0.3),G727,0)</f>
        <v>0</v>
      </c>
      <c r="DI624" s="1321"/>
      <c r="DJ624" s="1321"/>
      <c r="DK624" s="1321"/>
      <c r="DL624" s="1322"/>
      <c r="DM624" s="1320">
        <f t="shared" ref="DM624:DM633" si="25">IF(AND(B727="4 Bedrooms",AH727&lt;=0.3),G727,0)</f>
        <v>0</v>
      </c>
      <c r="DN624" s="1321"/>
      <c r="DO624" s="1321"/>
      <c r="DP624" s="1321"/>
      <c r="DQ624" s="1322"/>
      <c r="DR624" s="1320">
        <f t="shared" ref="DR624:DR633" si="26">IF(AND(B727="5 Bedrooms",AH727&lt;=0.3),G727,0)</f>
        <v>0</v>
      </c>
      <c r="DS624" s="1321"/>
      <c r="DT624" s="1321"/>
      <c r="DU624" s="1321"/>
      <c r="DV624" s="1322"/>
    </row>
    <row r="625" spans="2:126" ht="12.95" customHeight="1">
      <c r="B625" s="836"/>
      <c r="C625" s="3"/>
      <c r="AZ625" s="41"/>
      <c r="BA625" s="41"/>
      <c r="BB625" s="41"/>
      <c r="BC625" s="41"/>
      <c r="BD625" s="41"/>
      <c r="BE625" s="1314">
        <f t="shared" si="17"/>
        <v>0</v>
      </c>
      <c r="BF625" s="1316"/>
      <c r="BG625" s="1308">
        <f t="shared" si="18"/>
        <v>0</v>
      </c>
      <c r="BH625" s="1310"/>
      <c r="BI625" s="1314">
        <f t="shared" si="19"/>
        <v>0</v>
      </c>
      <c r="BJ625" s="1316"/>
      <c r="BK625" s="1308">
        <f t="shared" si="20"/>
        <v>0</v>
      </c>
      <c r="BL625" s="1310"/>
      <c r="BN625" s="1308">
        <f t="shared" si="3"/>
        <v>0</v>
      </c>
      <c r="BO625" s="1309"/>
      <c r="BP625" s="1309"/>
      <c r="BQ625" s="1309"/>
      <c r="BR625" s="1319"/>
      <c r="BS625" s="1308">
        <f t="shared" si="4"/>
        <v>0</v>
      </c>
      <c r="BT625" s="1309"/>
      <c r="BU625" s="1309"/>
      <c r="BV625" s="1309"/>
      <c r="BW625" s="1310"/>
      <c r="BX625" s="1308">
        <f t="shared" si="5"/>
        <v>0</v>
      </c>
      <c r="BY625" s="1309"/>
      <c r="BZ625" s="1309"/>
      <c r="CA625" s="1309"/>
      <c r="CB625" s="1310"/>
      <c r="CC625" s="1308">
        <f t="shared" si="6"/>
        <v>0</v>
      </c>
      <c r="CD625" s="1309"/>
      <c r="CE625" s="1309"/>
      <c r="CF625" s="1309"/>
      <c r="CG625" s="1310"/>
      <c r="CH625" s="1308">
        <f t="shared" si="7"/>
        <v>0</v>
      </c>
      <c r="CI625" s="1309"/>
      <c r="CJ625" s="1309"/>
      <c r="CK625" s="1309"/>
      <c r="CL625" s="1310"/>
      <c r="CM625" s="1317">
        <f t="shared" si="8"/>
        <v>0</v>
      </c>
      <c r="CN625" s="1318"/>
      <c r="CO625" s="1318"/>
      <c r="CP625" s="1318"/>
      <c r="CQ625" s="1319"/>
      <c r="CS625" s="1320">
        <f t="shared" si="21"/>
        <v>0</v>
      </c>
      <c r="CT625" s="1321"/>
      <c r="CU625" s="1321"/>
      <c r="CV625" s="1321"/>
      <c r="CW625" s="1322"/>
      <c r="CX625" s="1320">
        <f t="shared" si="22"/>
        <v>0</v>
      </c>
      <c r="CY625" s="1321"/>
      <c r="CZ625" s="1321"/>
      <c r="DA625" s="1321"/>
      <c r="DB625" s="1322"/>
      <c r="DC625" s="1320">
        <f t="shared" si="23"/>
        <v>0</v>
      </c>
      <c r="DD625" s="1321"/>
      <c r="DE625" s="1321"/>
      <c r="DF625" s="1321"/>
      <c r="DG625" s="1322"/>
      <c r="DH625" s="1320">
        <f t="shared" si="24"/>
        <v>0</v>
      </c>
      <c r="DI625" s="1321"/>
      <c r="DJ625" s="1321"/>
      <c r="DK625" s="1321"/>
      <c r="DL625" s="1322"/>
      <c r="DM625" s="1320">
        <f t="shared" si="25"/>
        <v>0</v>
      </c>
      <c r="DN625" s="1321"/>
      <c r="DO625" s="1321"/>
      <c r="DP625" s="1321"/>
      <c r="DQ625" s="1322"/>
      <c r="DR625" s="1320">
        <f t="shared" si="26"/>
        <v>0</v>
      </c>
      <c r="DS625" s="1321"/>
      <c r="DT625" s="1321"/>
      <c r="DU625" s="1321"/>
      <c r="DV625" s="1322"/>
    </row>
    <row r="626" spans="2:126" ht="12.95" customHeight="1">
      <c r="B626" s="1614" t="s">
        <v>2179</v>
      </c>
      <c r="C626" s="1615"/>
      <c r="D626" s="1615"/>
      <c r="E626" s="1615"/>
      <c r="F626" s="1615"/>
      <c r="G626" s="1615"/>
      <c r="H626" s="1615"/>
      <c r="I626" s="1615"/>
      <c r="J626" s="1615"/>
      <c r="K626" s="1615"/>
      <c r="L626" s="1615"/>
      <c r="M626" s="1463" t="s">
        <v>2153</v>
      </c>
      <c r="N626" s="1463"/>
      <c r="O626" s="1463"/>
      <c r="P626" s="1463"/>
      <c r="Q626" s="1363" t="s">
        <v>2183</v>
      </c>
      <c r="R626" s="1364"/>
      <c r="S626" s="1365"/>
      <c r="T626" s="1363" t="s">
        <v>2182</v>
      </c>
      <c r="U626" s="1364"/>
      <c r="V626" s="1365"/>
      <c r="W626" s="1538" t="s">
        <v>740</v>
      </c>
      <c r="X626" s="1538"/>
      <c r="Y626" s="1539"/>
      <c r="Z626" s="1463" t="s">
        <v>2180</v>
      </c>
      <c r="AA626" s="1463"/>
      <c r="AB626" s="1463"/>
      <c r="AC626" s="1464" t="s">
        <v>1978</v>
      </c>
      <c r="AD626" s="1465"/>
      <c r="AE626" s="1466"/>
      <c r="AF626" s="1363" t="s">
        <v>2112</v>
      </c>
      <c r="AG626" s="1364"/>
      <c r="AH626" s="1364"/>
      <c r="AI626" s="1364"/>
      <c r="AJ626" s="1365"/>
      <c r="AK626" s="1545" t="s">
        <v>2113</v>
      </c>
      <c r="AL626" s="1546"/>
      <c r="AM626" s="1546"/>
      <c r="AN626" s="1547"/>
      <c r="AO626" s="1463" t="s">
        <v>741</v>
      </c>
      <c r="AP626" s="1463"/>
      <c r="AQ626" s="1463"/>
      <c r="AR626" s="1463"/>
      <c r="AS626" s="1463"/>
      <c r="AT626" s="41"/>
      <c r="AU626" s="41"/>
      <c r="AV626" s="41"/>
      <c r="AW626" s="41"/>
      <c r="AX626" s="41"/>
      <c r="AY626" s="41"/>
      <c r="AZ626" s="41"/>
      <c r="BE626" s="1314">
        <f t="shared" si="17"/>
        <v>0</v>
      </c>
      <c r="BF626" s="1316"/>
      <c r="BG626" s="1308">
        <f t="shared" si="18"/>
        <v>0</v>
      </c>
      <c r="BH626" s="1310"/>
      <c r="BI626" s="1314">
        <f t="shared" si="19"/>
        <v>0</v>
      </c>
      <c r="BJ626" s="1316"/>
      <c r="BK626" s="1308">
        <f t="shared" si="20"/>
        <v>0</v>
      </c>
      <c r="BL626" s="1310"/>
      <c r="BN626" s="1308">
        <f t="shared" si="3"/>
        <v>0</v>
      </c>
      <c r="BO626" s="1309"/>
      <c r="BP626" s="1309"/>
      <c r="BQ626" s="1309"/>
      <c r="BR626" s="1319"/>
      <c r="BS626" s="1308">
        <f t="shared" si="4"/>
        <v>0</v>
      </c>
      <c r="BT626" s="1309"/>
      <c r="BU626" s="1309"/>
      <c r="BV626" s="1309"/>
      <c r="BW626" s="1310"/>
      <c r="BX626" s="1308">
        <f t="shared" si="5"/>
        <v>0</v>
      </c>
      <c r="BY626" s="1309"/>
      <c r="BZ626" s="1309"/>
      <c r="CA626" s="1309"/>
      <c r="CB626" s="1310"/>
      <c r="CC626" s="1308">
        <f t="shared" si="6"/>
        <v>0</v>
      </c>
      <c r="CD626" s="1309"/>
      <c r="CE626" s="1309"/>
      <c r="CF626" s="1309"/>
      <c r="CG626" s="1310"/>
      <c r="CH626" s="1308">
        <f t="shared" si="7"/>
        <v>0</v>
      </c>
      <c r="CI626" s="1309"/>
      <c r="CJ626" s="1309"/>
      <c r="CK626" s="1309"/>
      <c r="CL626" s="1310"/>
      <c r="CM626" s="1317">
        <f t="shared" si="8"/>
        <v>0</v>
      </c>
      <c r="CN626" s="1318"/>
      <c r="CO626" s="1318"/>
      <c r="CP626" s="1318"/>
      <c r="CQ626" s="1319"/>
      <c r="CS626" s="1320">
        <f t="shared" si="21"/>
        <v>0</v>
      </c>
      <c r="CT626" s="1321"/>
      <c r="CU626" s="1321"/>
      <c r="CV626" s="1321"/>
      <c r="CW626" s="1322"/>
      <c r="CX626" s="1320">
        <f t="shared" si="22"/>
        <v>0</v>
      </c>
      <c r="CY626" s="1321"/>
      <c r="CZ626" s="1321"/>
      <c r="DA626" s="1321"/>
      <c r="DB626" s="1322"/>
      <c r="DC626" s="1320">
        <f t="shared" si="23"/>
        <v>0</v>
      </c>
      <c r="DD626" s="1321"/>
      <c r="DE626" s="1321"/>
      <c r="DF626" s="1321"/>
      <c r="DG626" s="1322"/>
      <c r="DH626" s="1320">
        <f t="shared" si="24"/>
        <v>0</v>
      </c>
      <c r="DI626" s="1321"/>
      <c r="DJ626" s="1321"/>
      <c r="DK626" s="1321"/>
      <c r="DL626" s="1322"/>
      <c r="DM626" s="1320">
        <f t="shared" si="25"/>
        <v>0</v>
      </c>
      <c r="DN626" s="1321"/>
      <c r="DO626" s="1321"/>
      <c r="DP626" s="1321"/>
      <c r="DQ626" s="1322"/>
      <c r="DR626" s="1320">
        <f t="shared" si="26"/>
        <v>0</v>
      </c>
      <c r="DS626" s="1321"/>
      <c r="DT626" s="1321"/>
      <c r="DU626" s="1321"/>
      <c r="DV626" s="1322"/>
    </row>
    <row r="627" spans="2:126" ht="12.95" customHeight="1">
      <c r="B627" s="1616"/>
      <c r="C627" s="1494"/>
      <c r="D627" s="1494"/>
      <c r="E627" s="1494"/>
      <c r="F627" s="1494"/>
      <c r="G627" s="1494"/>
      <c r="H627" s="1494"/>
      <c r="I627" s="1494"/>
      <c r="J627" s="1494"/>
      <c r="K627" s="1494"/>
      <c r="L627" s="1494"/>
      <c r="M627" s="1463"/>
      <c r="N627" s="1463"/>
      <c r="O627" s="1463"/>
      <c r="P627" s="1463"/>
      <c r="Q627" s="1366"/>
      <c r="R627" s="1367"/>
      <c r="S627" s="1368"/>
      <c r="T627" s="1366"/>
      <c r="U627" s="1367"/>
      <c r="V627" s="1368"/>
      <c r="W627" s="1540"/>
      <c r="X627" s="1540"/>
      <c r="Y627" s="1541"/>
      <c r="Z627" s="1463"/>
      <c r="AA627" s="1463"/>
      <c r="AB627" s="1463"/>
      <c r="AC627" s="1467"/>
      <c r="AD627" s="1468"/>
      <c r="AE627" s="1469"/>
      <c r="AF627" s="1366"/>
      <c r="AG627" s="1367"/>
      <c r="AH627" s="1367"/>
      <c r="AI627" s="1367"/>
      <c r="AJ627" s="1368"/>
      <c r="AK627" s="1548"/>
      <c r="AL627" s="1549"/>
      <c r="AM627" s="1549"/>
      <c r="AN627" s="1550"/>
      <c r="AO627" s="1463"/>
      <c r="AP627" s="1463"/>
      <c r="AQ627" s="1463"/>
      <c r="AR627" s="1463"/>
      <c r="AS627" s="1463"/>
      <c r="AT627" s="41"/>
      <c r="AU627" s="41"/>
      <c r="AV627" s="41"/>
      <c r="AW627" s="41"/>
      <c r="AX627" s="41"/>
      <c r="AY627" s="41"/>
      <c r="AZ627" s="41"/>
      <c r="BE627" s="1314">
        <f t="shared" si="17"/>
        <v>0</v>
      </c>
      <c r="BF627" s="1316"/>
      <c r="BG627" s="1308">
        <f t="shared" si="18"/>
        <v>0</v>
      </c>
      <c r="BH627" s="1310"/>
      <c r="BI627" s="1314">
        <f t="shared" si="19"/>
        <v>0</v>
      </c>
      <c r="BJ627" s="1316"/>
      <c r="BK627" s="1308">
        <f t="shared" si="20"/>
        <v>0</v>
      </c>
      <c r="BL627" s="1310"/>
      <c r="BN627" s="1308">
        <f t="shared" si="3"/>
        <v>0</v>
      </c>
      <c r="BO627" s="1309"/>
      <c r="BP627" s="1309"/>
      <c r="BQ627" s="1309"/>
      <c r="BR627" s="1319"/>
      <c r="BS627" s="1308">
        <f t="shared" si="4"/>
        <v>0</v>
      </c>
      <c r="BT627" s="1309"/>
      <c r="BU627" s="1309"/>
      <c r="BV627" s="1309"/>
      <c r="BW627" s="1310"/>
      <c r="BX627" s="1308">
        <f t="shared" si="5"/>
        <v>0</v>
      </c>
      <c r="BY627" s="1309"/>
      <c r="BZ627" s="1309"/>
      <c r="CA627" s="1309"/>
      <c r="CB627" s="1310"/>
      <c r="CC627" s="1308">
        <f t="shared" si="6"/>
        <v>0</v>
      </c>
      <c r="CD627" s="1309"/>
      <c r="CE627" s="1309"/>
      <c r="CF627" s="1309"/>
      <c r="CG627" s="1310"/>
      <c r="CH627" s="1308">
        <f t="shared" si="7"/>
        <v>0</v>
      </c>
      <c r="CI627" s="1309"/>
      <c r="CJ627" s="1309"/>
      <c r="CK627" s="1309"/>
      <c r="CL627" s="1310"/>
      <c r="CM627" s="1317">
        <f t="shared" si="8"/>
        <v>0</v>
      </c>
      <c r="CN627" s="1318"/>
      <c r="CO627" s="1318"/>
      <c r="CP627" s="1318"/>
      <c r="CQ627" s="1319"/>
      <c r="CS627" s="1320">
        <f t="shared" si="21"/>
        <v>0</v>
      </c>
      <c r="CT627" s="1321"/>
      <c r="CU627" s="1321"/>
      <c r="CV627" s="1321"/>
      <c r="CW627" s="1322"/>
      <c r="CX627" s="1320">
        <f t="shared" si="22"/>
        <v>0</v>
      </c>
      <c r="CY627" s="1321"/>
      <c r="CZ627" s="1321"/>
      <c r="DA627" s="1321"/>
      <c r="DB627" s="1322"/>
      <c r="DC627" s="1320">
        <f t="shared" si="23"/>
        <v>0</v>
      </c>
      <c r="DD627" s="1321"/>
      <c r="DE627" s="1321"/>
      <c r="DF627" s="1321"/>
      <c r="DG627" s="1322"/>
      <c r="DH627" s="1320">
        <f t="shared" si="24"/>
        <v>0</v>
      </c>
      <c r="DI627" s="1321"/>
      <c r="DJ627" s="1321"/>
      <c r="DK627" s="1321"/>
      <c r="DL627" s="1322"/>
      <c r="DM627" s="1320">
        <f t="shared" si="25"/>
        <v>0</v>
      </c>
      <c r="DN627" s="1321"/>
      <c r="DO627" s="1321"/>
      <c r="DP627" s="1321"/>
      <c r="DQ627" s="1322"/>
      <c r="DR627" s="1320">
        <f t="shared" si="26"/>
        <v>0</v>
      </c>
      <c r="DS627" s="1321"/>
      <c r="DT627" s="1321"/>
      <c r="DU627" s="1321"/>
      <c r="DV627" s="1322"/>
    </row>
    <row r="628" spans="2:126" ht="12.95" customHeight="1">
      <c r="B628" s="1617"/>
      <c r="C628" s="1618"/>
      <c r="D628" s="1618"/>
      <c r="E628" s="1618"/>
      <c r="F628" s="1618"/>
      <c r="G628" s="1618"/>
      <c r="H628" s="1618"/>
      <c r="I628" s="1618"/>
      <c r="J628" s="1618"/>
      <c r="K628" s="1618"/>
      <c r="L628" s="1618"/>
      <c r="M628" s="1463"/>
      <c r="N628" s="1463"/>
      <c r="O628" s="1463"/>
      <c r="P628" s="1463"/>
      <c r="Q628" s="1369"/>
      <c r="R628" s="1370"/>
      <c r="S628" s="1371"/>
      <c r="T628" s="1369"/>
      <c r="U628" s="1370"/>
      <c r="V628" s="1371"/>
      <c r="W628" s="1542"/>
      <c r="X628" s="1542"/>
      <c r="Y628" s="1543"/>
      <c r="Z628" s="1463"/>
      <c r="AA628" s="1463"/>
      <c r="AB628" s="1463"/>
      <c r="AC628" s="1470"/>
      <c r="AD628" s="1471"/>
      <c r="AE628" s="1472"/>
      <c r="AF628" s="1369"/>
      <c r="AG628" s="1370"/>
      <c r="AH628" s="1370"/>
      <c r="AI628" s="1370"/>
      <c r="AJ628" s="1371"/>
      <c r="AK628" s="1551"/>
      <c r="AL628" s="1552"/>
      <c r="AM628" s="1552"/>
      <c r="AN628" s="1553"/>
      <c r="AO628" s="1463"/>
      <c r="AP628" s="1463"/>
      <c r="AQ628" s="1463"/>
      <c r="AR628" s="1463"/>
      <c r="AS628" s="1463"/>
      <c r="AT628" s="43"/>
      <c r="AU628" s="43"/>
      <c r="AV628" s="43"/>
      <c r="AW628" s="43"/>
      <c r="AX628" s="43"/>
      <c r="AY628" s="43"/>
      <c r="AZ628" s="43"/>
      <c r="BE628" s="1314">
        <f t="shared" si="17"/>
        <v>0</v>
      </c>
      <c r="BF628" s="1316"/>
      <c r="BG628" s="1308">
        <f t="shared" si="18"/>
        <v>0</v>
      </c>
      <c r="BH628" s="1310"/>
      <c r="BI628" s="1314">
        <f t="shared" si="19"/>
        <v>0</v>
      </c>
      <c r="BJ628" s="1316"/>
      <c r="BK628" s="1308">
        <f t="shared" si="20"/>
        <v>0</v>
      </c>
      <c r="BL628" s="1310"/>
      <c r="BN628" s="1308">
        <f t="shared" si="3"/>
        <v>0</v>
      </c>
      <c r="BO628" s="1309"/>
      <c r="BP628" s="1309"/>
      <c r="BQ628" s="1309"/>
      <c r="BR628" s="1319"/>
      <c r="BS628" s="1308">
        <f t="shared" si="4"/>
        <v>0</v>
      </c>
      <c r="BT628" s="1309"/>
      <c r="BU628" s="1309"/>
      <c r="BV628" s="1309"/>
      <c r="BW628" s="1310"/>
      <c r="BX628" s="1308">
        <f t="shared" si="5"/>
        <v>0</v>
      </c>
      <c r="BY628" s="1309"/>
      <c r="BZ628" s="1309"/>
      <c r="CA628" s="1309"/>
      <c r="CB628" s="1310"/>
      <c r="CC628" s="1308">
        <f t="shared" si="6"/>
        <v>0</v>
      </c>
      <c r="CD628" s="1309"/>
      <c r="CE628" s="1309"/>
      <c r="CF628" s="1309"/>
      <c r="CG628" s="1310"/>
      <c r="CH628" s="1308">
        <f t="shared" si="7"/>
        <v>0</v>
      </c>
      <c r="CI628" s="1309"/>
      <c r="CJ628" s="1309"/>
      <c r="CK628" s="1309"/>
      <c r="CL628" s="1310"/>
      <c r="CM628" s="1317">
        <f t="shared" si="8"/>
        <v>0</v>
      </c>
      <c r="CN628" s="1318"/>
      <c r="CO628" s="1318"/>
      <c r="CP628" s="1318"/>
      <c r="CQ628" s="1319"/>
      <c r="CS628" s="1320">
        <f t="shared" si="21"/>
        <v>0</v>
      </c>
      <c r="CT628" s="1321"/>
      <c r="CU628" s="1321"/>
      <c r="CV628" s="1321"/>
      <c r="CW628" s="1322"/>
      <c r="CX628" s="1320">
        <f t="shared" si="22"/>
        <v>0</v>
      </c>
      <c r="CY628" s="1321"/>
      <c r="CZ628" s="1321"/>
      <c r="DA628" s="1321"/>
      <c r="DB628" s="1322"/>
      <c r="DC628" s="1320">
        <f t="shared" si="23"/>
        <v>0</v>
      </c>
      <c r="DD628" s="1321"/>
      <c r="DE628" s="1321"/>
      <c r="DF628" s="1321"/>
      <c r="DG628" s="1322"/>
      <c r="DH628" s="1320">
        <f t="shared" si="24"/>
        <v>0</v>
      </c>
      <c r="DI628" s="1321"/>
      <c r="DJ628" s="1321"/>
      <c r="DK628" s="1321"/>
      <c r="DL628" s="1322"/>
      <c r="DM628" s="1320">
        <f t="shared" si="25"/>
        <v>0</v>
      </c>
      <c r="DN628" s="1321"/>
      <c r="DO628" s="1321"/>
      <c r="DP628" s="1321"/>
      <c r="DQ628" s="1322"/>
      <c r="DR628" s="1320">
        <f t="shared" si="26"/>
        <v>0</v>
      </c>
      <c r="DS628" s="1321"/>
      <c r="DT628" s="1321"/>
      <c r="DU628" s="1321"/>
      <c r="DV628" s="1322"/>
    </row>
    <row r="629" spans="2:126" ht="12.95" customHeight="1">
      <c r="B629" s="57" t="s">
        <v>900</v>
      </c>
      <c r="C629" s="1086" t="s">
        <v>2457</v>
      </c>
      <c r="D629" s="1086"/>
      <c r="E629" s="1086"/>
      <c r="F629" s="1086"/>
      <c r="G629" s="1086"/>
      <c r="H629" s="1086"/>
      <c r="I629" s="1086"/>
      <c r="J629" s="1086"/>
      <c r="K629" s="1086"/>
      <c r="L629" s="1086"/>
      <c r="M629" s="1067" t="s">
        <v>2163</v>
      </c>
      <c r="N629" s="1067"/>
      <c r="O629" s="1067"/>
      <c r="P629" s="1067"/>
      <c r="Q629" s="1071">
        <v>480</v>
      </c>
      <c r="R629" s="1072"/>
      <c r="S629" s="1073"/>
      <c r="T629" s="1071">
        <v>480</v>
      </c>
      <c r="U629" s="1072"/>
      <c r="V629" s="1073"/>
      <c r="W629" s="1083">
        <v>6.5000000000000002E-2</v>
      </c>
      <c r="X629" s="1084"/>
      <c r="Y629" s="1085"/>
      <c r="Z629" s="1074" t="s">
        <v>1965</v>
      </c>
      <c r="AA629" s="1075"/>
      <c r="AB629" s="1076"/>
      <c r="AC629" s="1077"/>
      <c r="AD629" s="1078"/>
      <c r="AE629" s="1079"/>
      <c r="AF629" s="1080">
        <v>352410</v>
      </c>
      <c r="AG629" s="1081"/>
      <c r="AH629" s="1081"/>
      <c r="AI629" s="1081"/>
      <c r="AJ629" s="1082"/>
      <c r="AK629" s="1068"/>
      <c r="AL629" s="1069"/>
      <c r="AM629" s="1069"/>
      <c r="AN629" s="1070"/>
      <c r="AO629" s="1061">
        <v>5016170</v>
      </c>
      <c r="AP629" s="1061"/>
      <c r="AQ629" s="1061"/>
      <c r="AR629" s="1061"/>
      <c r="AS629" s="1061"/>
      <c r="AT629" s="942" t="str">
        <f t="shared" ref="AT629:AT640" si="27">IF(AND(NOT(C628=""),C629="",NOT(C630="")),"!","")</f>
        <v/>
      </c>
      <c r="AU629" s="43"/>
      <c r="AV629" s="43"/>
      <c r="AW629" s="43"/>
      <c r="AX629" s="43"/>
      <c r="AY629" s="43"/>
      <c r="BA629" s="41" t="s">
        <v>1965</v>
      </c>
      <c r="BC629" s="43"/>
      <c r="BD629" s="43"/>
      <c r="BE629" s="1314">
        <f t="shared" si="17"/>
        <v>0</v>
      </c>
      <c r="BF629" s="1316"/>
      <c r="BG629" s="1308">
        <f t="shared" si="18"/>
        <v>0</v>
      </c>
      <c r="BH629" s="1310"/>
      <c r="BI629" s="1314">
        <f t="shared" si="19"/>
        <v>0</v>
      </c>
      <c r="BJ629" s="1316"/>
      <c r="BK629" s="1308">
        <f t="shared" si="20"/>
        <v>0</v>
      </c>
      <c r="BL629" s="1310"/>
      <c r="BN629" s="1308">
        <f t="shared" si="3"/>
        <v>0</v>
      </c>
      <c r="BO629" s="1309"/>
      <c r="BP629" s="1309"/>
      <c r="BQ629" s="1309"/>
      <c r="BR629" s="1319"/>
      <c r="BS629" s="1308">
        <f t="shared" si="4"/>
        <v>0</v>
      </c>
      <c r="BT629" s="1309"/>
      <c r="BU629" s="1309"/>
      <c r="BV629" s="1309"/>
      <c r="BW629" s="1310"/>
      <c r="BX629" s="1308">
        <f t="shared" si="5"/>
        <v>0</v>
      </c>
      <c r="BY629" s="1309"/>
      <c r="BZ629" s="1309"/>
      <c r="CA629" s="1309"/>
      <c r="CB629" s="1310"/>
      <c r="CC629" s="1308">
        <f t="shared" si="6"/>
        <v>0</v>
      </c>
      <c r="CD629" s="1309"/>
      <c r="CE629" s="1309"/>
      <c r="CF629" s="1309"/>
      <c r="CG629" s="1310"/>
      <c r="CH629" s="1308">
        <f t="shared" si="7"/>
        <v>0</v>
      </c>
      <c r="CI629" s="1309"/>
      <c r="CJ629" s="1309"/>
      <c r="CK629" s="1309"/>
      <c r="CL629" s="1310"/>
      <c r="CM629" s="1317">
        <f t="shared" si="8"/>
        <v>0</v>
      </c>
      <c r="CN629" s="1318"/>
      <c r="CO629" s="1318"/>
      <c r="CP629" s="1318"/>
      <c r="CQ629" s="1319"/>
      <c r="CS629" s="1320">
        <f t="shared" si="21"/>
        <v>0</v>
      </c>
      <c r="CT629" s="1321"/>
      <c r="CU629" s="1321"/>
      <c r="CV629" s="1321"/>
      <c r="CW629" s="1322"/>
      <c r="CX629" s="1320">
        <f t="shared" si="22"/>
        <v>0</v>
      </c>
      <c r="CY629" s="1321"/>
      <c r="CZ629" s="1321"/>
      <c r="DA629" s="1321"/>
      <c r="DB629" s="1322"/>
      <c r="DC629" s="1320">
        <f t="shared" si="23"/>
        <v>0</v>
      </c>
      <c r="DD629" s="1321"/>
      <c r="DE629" s="1321"/>
      <c r="DF629" s="1321"/>
      <c r="DG629" s="1322"/>
      <c r="DH629" s="1320">
        <f t="shared" si="24"/>
        <v>0</v>
      </c>
      <c r="DI629" s="1321"/>
      <c r="DJ629" s="1321"/>
      <c r="DK629" s="1321"/>
      <c r="DL629" s="1322"/>
      <c r="DM629" s="1320">
        <f t="shared" si="25"/>
        <v>0</v>
      </c>
      <c r="DN629" s="1321"/>
      <c r="DO629" s="1321"/>
      <c r="DP629" s="1321"/>
      <c r="DQ629" s="1322"/>
      <c r="DR629" s="1320">
        <f t="shared" si="26"/>
        <v>0</v>
      </c>
      <c r="DS629" s="1321"/>
      <c r="DT629" s="1321"/>
      <c r="DU629" s="1321"/>
      <c r="DV629" s="1322"/>
    </row>
    <row r="630" spans="2:126" ht="12.95" customHeight="1">
      <c r="B630" s="58" t="s">
        <v>901</v>
      </c>
      <c r="C630" s="1086" t="s">
        <v>2458</v>
      </c>
      <c r="D630" s="1086"/>
      <c r="E630" s="1086"/>
      <c r="F630" s="1086"/>
      <c r="G630" s="1086"/>
      <c r="H630" s="1086"/>
      <c r="I630" s="1086"/>
      <c r="J630" s="1086"/>
      <c r="K630" s="1086"/>
      <c r="L630" s="1086"/>
      <c r="M630" s="1067" t="s">
        <v>2156</v>
      </c>
      <c r="N630" s="1067"/>
      <c r="O630" s="1067"/>
      <c r="P630" s="1067"/>
      <c r="Q630" s="1071"/>
      <c r="R630" s="1072"/>
      <c r="S630" s="1073"/>
      <c r="T630" s="1071"/>
      <c r="U630" s="1072"/>
      <c r="V630" s="1073"/>
      <c r="W630" s="1083"/>
      <c r="X630" s="1084"/>
      <c r="Y630" s="1085"/>
      <c r="Z630" s="1074" t="s">
        <v>1965</v>
      </c>
      <c r="AA630" s="1075"/>
      <c r="AB630" s="1076"/>
      <c r="AC630" s="1077"/>
      <c r="AD630" s="1078"/>
      <c r="AE630" s="1079"/>
      <c r="AF630" s="1080"/>
      <c r="AG630" s="1081"/>
      <c r="AH630" s="1081"/>
      <c r="AI630" s="1081"/>
      <c r="AJ630" s="1082"/>
      <c r="AK630" s="1068"/>
      <c r="AL630" s="1069"/>
      <c r="AM630" s="1069"/>
      <c r="AN630" s="1070"/>
      <c r="AO630" s="1061">
        <v>644393</v>
      </c>
      <c r="AP630" s="1061"/>
      <c r="AQ630" s="1061"/>
      <c r="AR630" s="1061"/>
      <c r="AS630" s="1061"/>
      <c r="AT630" s="942" t="str">
        <f t="shared" si="27"/>
        <v/>
      </c>
      <c r="AU630" s="43"/>
      <c r="AV630" s="43"/>
      <c r="AW630" s="43"/>
      <c r="AX630" s="43"/>
      <c r="AY630" s="43"/>
      <c r="BA630" s="41" t="s">
        <v>789</v>
      </c>
      <c r="BC630" s="43"/>
      <c r="BD630" s="43"/>
      <c r="BE630" s="1314">
        <f t="shared" si="17"/>
        <v>0</v>
      </c>
      <c r="BF630" s="1316"/>
      <c r="BG630" s="1308">
        <f t="shared" si="18"/>
        <v>0</v>
      </c>
      <c r="BH630" s="1310"/>
      <c r="BI630" s="1314">
        <f t="shared" si="19"/>
        <v>0</v>
      </c>
      <c r="BJ630" s="1316"/>
      <c r="BK630" s="1308">
        <f t="shared" si="20"/>
        <v>0</v>
      </c>
      <c r="BL630" s="1310"/>
      <c r="BN630" s="1308">
        <f t="shared" si="3"/>
        <v>0</v>
      </c>
      <c r="BO630" s="1309"/>
      <c r="BP630" s="1309"/>
      <c r="BQ630" s="1309"/>
      <c r="BR630" s="1319"/>
      <c r="BS630" s="1308">
        <f t="shared" si="4"/>
        <v>0</v>
      </c>
      <c r="BT630" s="1309"/>
      <c r="BU630" s="1309"/>
      <c r="BV630" s="1309"/>
      <c r="BW630" s="1310"/>
      <c r="BX630" s="1308">
        <f t="shared" si="5"/>
        <v>0</v>
      </c>
      <c r="BY630" s="1309"/>
      <c r="BZ630" s="1309"/>
      <c r="CA630" s="1309"/>
      <c r="CB630" s="1310"/>
      <c r="CC630" s="1308">
        <f t="shared" si="6"/>
        <v>0</v>
      </c>
      <c r="CD630" s="1309"/>
      <c r="CE630" s="1309"/>
      <c r="CF630" s="1309"/>
      <c r="CG630" s="1310"/>
      <c r="CH630" s="1308">
        <f t="shared" si="7"/>
        <v>0</v>
      </c>
      <c r="CI630" s="1309"/>
      <c r="CJ630" s="1309"/>
      <c r="CK630" s="1309"/>
      <c r="CL630" s="1310"/>
      <c r="CM630" s="1317">
        <f t="shared" si="8"/>
        <v>0</v>
      </c>
      <c r="CN630" s="1318"/>
      <c r="CO630" s="1318"/>
      <c r="CP630" s="1318"/>
      <c r="CQ630" s="1319"/>
      <c r="CS630" s="1320">
        <f t="shared" si="21"/>
        <v>0</v>
      </c>
      <c r="CT630" s="1321"/>
      <c r="CU630" s="1321"/>
      <c r="CV630" s="1321"/>
      <c r="CW630" s="1322"/>
      <c r="CX630" s="1320">
        <f t="shared" si="22"/>
        <v>0</v>
      </c>
      <c r="CY630" s="1321"/>
      <c r="CZ630" s="1321"/>
      <c r="DA630" s="1321"/>
      <c r="DB630" s="1322"/>
      <c r="DC630" s="1320">
        <f t="shared" si="23"/>
        <v>0</v>
      </c>
      <c r="DD630" s="1321"/>
      <c r="DE630" s="1321"/>
      <c r="DF630" s="1321"/>
      <c r="DG630" s="1322"/>
      <c r="DH630" s="1320">
        <f t="shared" si="24"/>
        <v>0</v>
      </c>
      <c r="DI630" s="1321"/>
      <c r="DJ630" s="1321"/>
      <c r="DK630" s="1321"/>
      <c r="DL630" s="1322"/>
      <c r="DM630" s="1320">
        <f t="shared" si="25"/>
        <v>0</v>
      </c>
      <c r="DN630" s="1321"/>
      <c r="DO630" s="1321"/>
      <c r="DP630" s="1321"/>
      <c r="DQ630" s="1322"/>
      <c r="DR630" s="1320">
        <f t="shared" si="26"/>
        <v>0</v>
      </c>
      <c r="DS630" s="1321"/>
      <c r="DT630" s="1321"/>
      <c r="DU630" s="1321"/>
      <c r="DV630" s="1322"/>
    </row>
    <row r="631" spans="2:126" ht="12.95" customHeight="1">
      <c r="B631" s="58" t="s">
        <v>907</v>
      </c>
      <c r="C631" s="1086" t="s">
        <v>2459</v>
      </c>
      <c r="D631" s="1086"/>
      <c r="E631" s="1086"/>
      <c r="F631" s="1086"/>
      <c r="G631" s="1086"/>
      <c r="H631" s="1086"/>
      <c r="I631" s="1086"/>
      <c r="J631" s="1086"/>
      <c r="K631" s="1086"/>
      <c r="L631" s="1086"/>
      <c r="M631" s="1067" t="s">
        <v>2160</v>
      </c>
      <c r="N631" s="1067"/>
      <c r="O631" s="1067"/>
      <c r="P631" s="1067"/>
      <c r="Q631" s="1071"/>
      <c r="R631" s="1072"/>
      <c r="S631" s="1073"/>
      <c r="T631" s="1071"/>
      <c r="U631" s="1072"/>
      <c r="V631" s="1073"/>
      <c r="W631" s="1083"/>
      <c r="X631" s="1084"/>
      <c r="Y631" s="1085"/>
      <c r="Z631" s="1074" t="s">
        <v>1965</v>
      </c>
      <c r="AA631" s="1075"/>
      <c r="AB631" s="1076"/>
      <c r="AC631" s="1077"/>
      <c r="AD631" s="1078"/>
      <c r="AE631" s="1079"/>
      <c r="AF631" s="1080"/>
      <c r="AG631" s="1081"/>
      <c r="AH631" s="1081"/>
      <c r="AI631" s="1081"/>
      <c r="AJ631" s="1082"/>
      <c r="AK631" s="1068"/>
      <c r="AL631" s="1069"/>
      <c r="AM631" s="1069"/>
      <c r="AN631" s="1070"/>
      <c r="AO631" s="1061">
        <v>230869</v>
      </c>
      <c r="AP631" s="1061"/>
      <c r="AQ631" s="1061"/>
      <c r="AR631" s="1061"/>
      <c r="AS631" s="1061"/>
      <c r="AT631" s="942" t="str">
        <f t="shared" si="27"/>
        <v/>
      </c>
      <c r="AU631" s="43"/>
      <c r="AV631" s="43"/>
      <c r="AW631" s="43"/>
      <c r="AX631" s="43"/>
      <c r="AY631" s="43"/>
      <c r="AZ631" s="43"/>
      <c r="BA631" s="41" t="s">
        <v>788</v>
      </c>
      <c r="BB631" s="43"/>
      <c r="BC631" s="43"/>
      <c r="BD631" s="43"/>
      <c r="BE631" s="1314">
        <f t="shared" si="17"/>
        <v>0</v>
      </c>
      <c r="BF631" s="1316"/>
      <c r="BG631" s="1308">
        <f t="shared" si="18"/>
        <v>0</v>
      </c>
      <c r="BH631" s="1310"/>
      <c r="BI631" s="1314">
        <f t="shared" si="19"/>
        <v>0</v>
      </c>
      <c r="BJ631" s="1316"/>
      <c r="BK631" s="1308">
        <f t="shared" si="20"/>
        <v>0</v>
      </c>
      <c r="BL631" s="1310"/>
      <c r="BN631" s="1308">
        <f t="shared" si="3"/>
        <v>0</v>
      </c>
      <c r="BO631" s="1309"/>
      <c r="BP631" s="1309"/>
      <c r="BQ631" s="1309"/>
      <c r="BR631" s="1319"/>
      <c r="BS631" s="1308">
        <f t="shared" si="4"/>
        <v>0</v>
      </c>
      <c r="BT631" s="1309"/>
      <c r="BU631" s="1309"/>
      <c r="BV631" s="1309"/>
      <c r="BW631" s="1310"/>
      <c r="BX631" s="1308">
        <f t="shared" si="5"/>
        <v>0</v>
      </c>
      <c r="BY631" s="1309"/>
      <c r="BZ631" s="1309"/>
      <c r="CA631" s="1309"/>
      <c r="CB631" s="1310"/>
      <c r="CC631" s="1308">
        <f t="shared" si="6"/>
        <v>0</v>
      </c>
      <c r="CD631" s="1309"/>
      <c r="CE631" s="1309"/>
      <c r="CF631" s="1309"/>
      <c r="CG631" s="1310"/>
      <c r="CH631" s="1308">
        <f t="shared" si="7"/>
        <v>0</v>
      </c>
      <c r="CI631" s="1309"/>
      <c r="CJ631" s="1309"/>
      <c r="CK631" s="1309"/>
      <c r="CL631" s="1310"/>
      <c r="CM631" s="1317">
        <f t="shared" si="8"/>
        <v>0</v>
      </c>
      <c r="CN631" s="1318"/>
      <c r="CO631" s="1318"/>
      <c r="CP631" s="1318"/>
      <c r="CQ631" s="1319"/>
      <c r="CS631" s="1320">
        <f t="shared" si="21"/>
        <v>0</v>
      </c>
      <c r="CT631" s="1321"/>
      <c r="CU631" s="1321"/>
      <c r="CV631" s="1321"/>
      <c r="CW631" s="1322"/>
      <c r="CX631" s="1320">
        <f t="shared" si="22"/>
        <v>0</v>
      </c>
      <c r="CY631" s="1321"/>
      <c r="CZ631" s="1321"/>
      <c r="DA631" s="1321"/>
      <c r="DB631" s="1322"/>
      <c r="DC631" s="1320">
        <f t="shared" si="23"/>
        <v>0</v>
      </c>
      <c r="DD631" s="1321"/>
      <c r="DE631" s="1321"/>
      <c r="DF631" s="1321"/>
      <c r="DG631" s="1322"/>
      <c r="DH631" s="1320">
        <f t="shared" si="24"/>
        <v>0</v>
      </c>
      <c r="DI631" s="1321"/>
      <c r="DJ631" s="1321"/>
      <c r="DK631" s="1321"/>
      <c r="DL631" s="1322"/>
      <c r="DM631" s="1320">
        <f t="shared" si="25"/>
        <v>0</v>
      </c>
      <c r="DN631" s="1321"/>
      <c r="DO631" s="1321"/>
      <c r="DP631" s="1321"/>
      <c r="DQ631" s="1322"/>
      <c r="DR631" s="1320">
        <f t="shared" si="26"/>
        <v>0</v>
      </c>
      <c r="DS631" s="1321"/>
      <c r="DT631" s="1321"/>
      <c r="DU631" s="1321"/>
      <c r="DV631" s="1322"/>
    </row>
    <row r="632" spans="2:126" ht="12.95" customHeight="1">
      <c r="B632" s="58" t="s">
        <v>431</v>
      </c>
      <c r="C632" s="1086" t="s">
        <v>2460</v>
      </c>
      <c r="D632" s="1086"/>
      <c r="E632" s="1086"/>
      <c r="F632" s="1086"/>
      <c r="G632" s="1086"/>
      <c r="H632" s="1086"/>
      <c r="I632" s="1086"/>
      <c r="J632" s="1086"/>
      <c r="K632" s="1086"/>
      <c r="L632" s="1086"/>
      <c r="M632" s="1067" t="s">
        <v>2163</v>
      </c>
      <c r="N632" s="1067"/>
      <c r="O632" s="1067"/>
      <c r="P632" s="1067"/>
      <c r="Q632" s="1071"/>
      <c r="R632" s="1072"/>
      <c r="S632" s="1073"/>
      <c r="T632" s="1071"/>
      <c r="U632" s="1072"/>
      <c r="V632" s="1073"/>
      <c r="W632" s="1083"/>
      <c r="X632" s="1084"/>
      <c r="Y632" s="1085"/>
      <c r="Z632" s="1074" t="s">
        <v>1965</v>
      </c>
      <c r="AA632" s="1075"/>
      <c r="AB632" s="1076"/>
      <c r="AC632" s="1077"/>
      <c r="AD632" s="1078"/>
      <c r="AE632" s="1079"/>
      <c r="AF632" s="1080"/>
      <c r="AG632" s="1081"/>
      <c r="AH632" s="1081"/>
      <c r="AI632" s="1081"/>
      <c r="AJ632" s="1082"/>
      <c r="AK632" s="1068"/>
      <c r="AL632" s="1069"/>
      <c r="AM632" s="1069"/>
      <c r="AN632" s="1070"/>
      <c r="AO632" s="1061">
        <v>750000</v>
      </c>
      <c r="AP632" s="1061"/>
      <c r="AQ632" s="1061"/>
      <c r="AR632" s="1061"/>
      <c r="AS632" s="1061"/>
      <c r="AT632" s="942" t="str">
        <f t="shared" si="27"/>
        <v/>
      </c>
      <c r="AU632" s="43"/>
      <c r="AV632" s="43"/>
      <c r="AW632" s="43"/>
      <c r="AX632" s="43"/>
      <c r="AY632" s="43"/>
      <c r="AZ632" s="43"/>
      <c r="BA632" s="41" t="s">
        <v>2181</v>
      </c>
      <c r="BE632" s="1314">
        <f t="shared" si="17"/>
        <v>0</v>
      </c>
      <c r="BF632" s="1316"/>
      <c r="BG632" s="1308">
        <f t="shared" si="18"/>
        <v>0</v>
      </c>
      <c r="BH632" s="1310"/>
      <c r="BI632" s="1314">
        <f t="shared" si="19"/>
        <v>0</v>
      </c>
      <c r="BJ632" s="1316"/>
      <c r="BK632" s="1308">
        <f t="shared" si="20"/>
        <v>0</v>
      </c>
      <c r="BL632" s="1310"/>
      <c r="BN632" s="1308">
        <f t="shared" si="3"/>
        <v>0</v>
      </c>
      <c r="BO632" s="1309"/>
      <c r="BP632" s="1309"/>
      <c r="BQ632" s="1309"/>
      <c r="BR632" s="1319"/>
      <c r="BS632" s="1308">
        <f t="shared" si="4"/>
        <v>0</v>
      </c>
      <c r="BT632" s="1309"/>
      <c r="BU632" s="1309"/>
      <c r="BV632" s="1309"/>
      <c r="BW632" s="1310"/>
      <c r="BX632" s="1308">
        <f t="shared" si="5"/>
        <v>0</v>
      </c>
      <c r="BY632" s="1309"/>
      <c r="BZ632" s="1309"/>
      <c r="CA632" s="1309"/>
      <c r="CB632" s="1310"/>
      <c r="CC632" s="1308">
        <f t="shared" si="6"/>
        <v>0</v>
      </c>
      <c r="CD632" s="1309"/>
      <c r="CE632" s="1309"/>
      <c r="CF632" s="1309"/>
      <c r="CG632" s="1310"/>
      <c r="CH632" s="1308">
        <f t="shared" si="7"/>
        <v>0</v>
      </c>
      <c r="CI632" s="1309"/>
      <c r="CJ632" s="1309"/>
      <c r="CK632" s="1309"/>
      <c r="CL632" s="1310"/>
      <c r="CM632" s="1317">
        <f t="shared" si="8"/>
        <v>0</v>
      </c>
      <c r="CN632" s="1318"/>
      <c r="CO632" s="1318"/>
      <c r="CP632" s="1318"/>
      <c r="CQ632" s="1319"/>
      <c r="CS632" s="1320">
        <f t="shared" si="21"/>
        <v>0</v>
      </c>
      <c r="CT632" s="1321"/>
      <c r="CU632" s="1321"/>
      <c r="CV632" s="1321"/>
      <c r="CW632" s="1322"/>
      <c r="CX632" s="1320">
        <f t="shared" si="22"/>
        <v>0</v>
      </c>
      <c r="CY632" s="1321"/>
      <c r="CZ632" s="1321"/>
      <c r="DA632" s="1321"/>
      <c r="DB632" s="1322"/>
      <c r="DC632" s="1320">
        <f t="shared" si="23"/>
        <v>0</v>
      </c>
      <c r="DD632" s="1321"/>
      <c r="DE632" s="1321"/>
      <c r="DF632" s="1321"/>
      <c r="DG632" s="1322"/>
      <c r="DH632" s="1320">
        <f t="shared" si="24"/>
        <v>0</v>
      </c>
      <c r="DI632" s="1321"/>
      <c r="DJ632" s="1321"/>
      <c r="DK632" s="1321"/>
      <c r="DL632" s="1322"/>
      <c r="DM632" s="1320">
        <f t="shared" si="25"/>
        <v>0</v>
      </c>
      <c r="DN632" s="1321"/>
      <c r="DO632" s="1321"/>
      <c r="DP632" s="1321"/>
      <c r="DQ632" s="1322"/>
      <c r="DR632" s="1320">
        <f t="shared" si="26"/>
        <v>0</v>
      </c>
      <c r="DS632" s="1321"/>
      <c r="DT632" s="1321"/>
      <c r="DU632" s="1321"/>
      <c r="DV632" s="1322"/>
    </row>
    <row r="633" spans="2:126" ht="12.95" customHeight="1">
      <c r="B633" s="58" t="s">
        <v>171</v>
      </c>
      <c r="C633" s="1086" t="s">
        <v>2446</v>
      </c>
      <c r="D633" s="1086"/>
      <c r="E633" s="1086"/>
      <c r="F633" s="1086"/>
      <c r="G633" s="1086"/>
      <c r="H633" s="1086"/>
      <c r="I633" s="1086"/>
      <c r="J633" s="1086"/>
      <c r="K633" s="1086"/>
      <c r="L633" s="1086"/>
      <c r="M633" s="1067" t="s">
        <v>2162</v>
      </c>
      <c r="N633" s="1067"/>
      <c r="O633" s="1067"/>
      <c r="P633" s="1067"/>
      <c r="Q633" s="1071"/>
      <c r="R633" s="1072"/>
      <c r="S633" s="1073"/>
      <c r="T633" s="1071"/>
      <c r="U633" s="1072"/>
      <c r="V633" s="1073"/>
      <c r="W633" s="1083"/>
      <c r="X633" s="1084"/>
      <c r="Y633" s="1085"/>
      <c r="Z633" s="1074" t="s">
        <v>1965</v>
      </c>
      <c r="AA633" s="1075"/>
      <c r="AB633" s="1076"/>
      <c r="AC633" s="1077"/>
      <c r="AD633" s="1078"/>
      <c r="AE633" s="1079"/>
      <c r="AF633" s="1080"/>
      <c r="AG633" s="1081"/>
      <c r="AH633" s="1081"/>
      <c r="AI633" s="1081"/>
      <c r="AJ633" s="1082"/>
      <c r="AK633" s="1068"/>
      <c r="AL633" s="1069"/>
      <c r="AM633" s="1069"/>
      <c r="AN633" s="1070"/>
      <c r="AO633" s="1061">
        <v>2661400</v>
      </c>
      <c r="AP633" s="1061"/>
      <c r="AQ633" s="1061"/>
      <c r="AR633" s="1061"/>
      <c r="AS633" s="1061"/>
      <c r="AT633" s="942" t="str">
        <f t="shared" si="27"/>
        <v/>
      </c>
      <c r="AU633" s="43"/>
      <c r="AV633" s="43"/>
      <c r="AW633" s="43"/>
      <c r="AX633" s="43"/>
      <c r="AY633" s="43"/>
      <c r="AZ633" s="43"/>
      <c r="BA633" s="41" t="s">
        <v>499</v>
      </c>
      <c r="BE633" s="1314">
        <f t="shared" si="17"/>
        <v>0</v>
      </c>
      <c r="BF633" s="1316"/>
      <c r="BG633" s="1308">
        <f t="shared" si="18"/>
        <v>0</v>
      </c>
      <c r="BH633" s="1310"/>
      <c r="BI633" s="1314">
        <f t="shared" si="19"/>
        <v>0</v>
      </c>
      <c r="BJ633" s="1316"/>
      <c r="BK633" s="1308">
        <f t="shared" si="20"/>
        <v>0</v>
      </c>
      <c r="BL633" s="1310"/>
      <c r="BN633" s="1308">
        <f t="shared" si="3"/>
        <v>0</v>
      </c>
      <c r="BO633" s="1309"/>
      <c r="BP633" s="1309"/>
      <c r="BQ633" s="1309"/>
      <c r="BR633" s="1319"/>
      <c r="BS633" s="1308">
        <f t="shared" si="4"/>
        <v>0</v>
      </c>
      <c r="BT633" s="1309"/>
      <c r="BU633" s="1309"/>
      <c r="BV633" s="1309"/>
      <c r="BW633" s="1310"/>
      <c r="BX633" s="1308">
        <f t="shared" si="5"/>
        <v>0</v>
      </c>
      <c r="BY633" s="1309"/>
      <c r="BZ633" s="1309"/>
      <c r="CA633" s="1309"/>
      <c r="CB633" s="1310"/>
      <c r="CC633" s="1308">
        <f t="shared" si="6"/>
        <v>0</v>
      </c>
      <c r="CD633" s="1309"/>
      <c r="CE633" s="1309"/>
      <c r="CF633" s="1309"/>
      <c r="CG633" s="1310"/>
      <c r="CH633" s="1308">
        <f t="shared" si="7"/>
        <v>0</v>
      </c>
      <c r="CI633" s="1309"/>
      <c r="CJ633" s="1309"/>
      <c r="CK633" s="1309"/>
      <c r="CL633" s="1310"/>
      <c r="CM633" s="1317">
        <f t="shared" si="8"/>
        <v>0</v>
      </c>
      <c r="CN633" s="1318"/>
      <c r="CO633" s="1318"/>
      <c r="CP633" s="1318"/>
      <c r="CQ633" s="1319"/>
      <c r="CS633" s="1320">
        <f t="shared" si="21"/>
        <v>0</v>
      </c>
      <c r="CT633" s="1321"/>
      <c r="CU633" s="1321"/>
      <c r="CV633" s="1321"/>
      <c r="CW633" s="1322"/>
      <c r="CX633" s="1320">
        <f t="shared" si="22"/>
        <v>0</v>
      </c>
      <c r="CY633" s="1321"/>
      <c r="CZ633" s="1321"/>
      <c r="DA633" s="1321"/>
      <c r="DB633" s="1322"/>
      <c r="DC633" s="1320">
        <f t="shared" si="23"/>
        <v>0</v>
      </c>
      <c r="DD633" s="1321"/>
      <c r="DE633" s="1321"/>
      <c r="DF633" s="1321"/>
      <c r="DG633" s="1322"/>
      <c r="DH633" s="1320">
        <f t="shared" si="24"/>
        <v>0</v>
      </c>
      <c r="DI633" s="1321"/>
      <c r="DJ633" s="1321"/>
      <c r="DK633" s="1321"/>
      <c r="DL633" s="1322"/>
      <c r="DM633" s="1320">
        <f t="shared" si="25"/>
        <v>0</v>
      </c>
      <c r="DN633" s="1321"/>
      <c r="DO633" s="1321"/>
      <c r="DP633" s="1321"/>
      <c r="DQ633" s="1322"/>
      <c r="DR633" s="1320">
        <f t="shared" si="26"/>
        <v>0</v>
      </c>
      <c r="DS633" s="1321"/>
      <c r="DT633" s="1321"/>
      <c r="DU633" s="1321"/>
      <c r="DV633" s="1322"/>
    </row>
    <row r="634" spans="2:126" ht="12.95" customHeight="1">
      <c r="B634" s="58" t="s">
        <v>434</v>
      </c>
      <c r="C634" s="1086"/>
      <c r="D634" s="1086"/>
      <c r="E634" s="1086"/>
      <c r="F634" s="1086"/>
      <c r="G634" s="1086"/>
      <c r="H634" s="1086"/>
      <c r="I634" s="1086"/>
      <c r="J634" s="1086"/>
      <c r="K634" s="1086"/>
      <c r="L634" s="1086"/>
      <c r="M634" s="1067"/>
      <c r="N634" s="1067"/>
      <c r="O634" s="1067"/>
      <c r="P634" s="1067"/>
      <c r="Q634" s="1071"/>
      <c r="R634" s="1072"/>
      <c r="S634" s="1073"/>
      <c r="T634" s="1071"/>
      <c r="U634" s="1072"/>
      <c r="V634" s="1073"/>
      <c r="W634" s="1083"/>
      <c r="X634" s="1084"/>
      <c r="Y634" s="1085"/>
      <c r="Z634" s="1074" t="s">
        <v>1965</v>
      </c>
      <c r="AA634" s="1075"/>
      <c r="AB634" s="1076"/>
      <c r="AC634" s="1077"/>
      <c r="AD634" s="1078"/>
      <c r="AE634" s="1079"/>
      <c r="AF634" s="1080"/>
      <c r="AG634" s="1081"/>
      <c r="AH634" s="1081"/>
      <c r="AI634" s="1081"/>
      <c r="AJ634" s="1082"/>
      <c r="AK634" s="1068"/>
      <c r="AL634" s="1069"/>
      <c r="AM634" s="1069"/>
      <c r="AN634" s="1070"/>
      <c r="AO634" s="1061"/>
      <c r="AP634" s="1061"/>
      <c r="AQ634" s="1061"/>
      <c r="AR634" s="1061"/>
      <c r="AS634" s="1061"/>
      <c r="AT634" s="942" t="str">
        <f t="shared" si="27"/>
        <v/>
      </c>
      <c r="AU634" s="43"/>
      <c r="AV634" s="43"/>
      <c r="AW634" s="43"/>
      <c r="AX634" s="43"/>
      <c r="AY634" s="43"/>
      <c r="AZ634" s="43"/>
      <c r="BE634" s="1314">
        <f>IF(AND(AH737&lt;=0.5,AH737&gt;=0.36),1,0)</f>
        <v>0</v>
      </c>
      <c r="BF634" s="1316"/>
      <c r="BG634" s="1308">
        <f>IF(BE634=1,G737,0)</f>
        <v>0</v>
      </c>
      <c r="BH634" s="1310"/>
      <c r="BI634" s="1314">
        <f>IF(AND(AH737&lt;=0.35,AH737&gt;0),1,0)</f>
        <v>0</v>
      </c>
      <c r="BJ634" s="1316"/>
      <c r="BK634" s="1308">
        <f>IF(BI634=1,G737,0)</f>
        <v>0</v>
      </c>
      <c r="BL634" s="1310"/>
      <c r="BN634" s="1314">
        <f>SUM(BN599:BR633)</f>
        <v>0</v>
      </c>
      <c r="BO634" s="1315"/>
      <c r="BP634" s="1315"/>
      <c r="BQ634" s="1315"/>
      <c r="BR634" s="1316"/>
      <c r="BS634" s="1314">
        <f>SUM(BS599:BW633)</f>
        <v>13</v>
      </c>
      <c r="BT634" s="1315"/>
      <c r="BU634" s="1315"/>
      <c r="BV634" s="1315"/>
      <c r="BW634" s="1316"/>
      <c r="BX634" s="1314">
        <f>SUM(BX599:CB633)</f>
        <v>23</v>
      </c>
      <c r="BY634" s="1315"/>
      <c r="BZ634" s="1315"/>
      <c r="CA634" s="1315"/>
      <c r="CB634" s="1316"/>
      <c r="CC634" s="1314">
        <f>SUM(CC599:CG633)</f>
        <v>13</v>
      </c>
      <c r="CD634" s="1315"/>
      <c r="CE634" s="1315"/>
      <c r="CF634" s="1315"/>
      <c r="CG634" s="1316"/>
      <c r="CH634" s="1314">
        <f>SUM(CH599:CL633)</f>
        <v>0</v>
      </c>
      <c r="CI634" s="1315"/>
      <c r="CJ634" s="1315"/>
      <c r="CK634" s="1315"/>
      <c r="CL634" s="1316"/>
      <c r="CM634" s="1314">
        <f>SUM(CM599:CQ633)</f>
        <v>0</v>
      </c>
      <c r="CN634" s="1315"/>
      <c r="CO634" s="1315"/>
      <c r="CP634" s="1315"/>
      <c r="CQ634" s="1316"/>
      <c r="CS634" s="1320">
        <f>IF(AND(B737="SRO/Studio",AH737&lt;=0.3),G737,0)</f>
        <v>0</v>
      </c>
      <c r="CT634" s="1321"/>
      <c r="CU634" s="1321"/>
      <c r="CV634" s="1321"/>
      <c r="CW634" s="1322"/>
      <c r="CX634" s="1320">
        <f>IF(AND(B737="1 Bedroom",AH737&lt;=0.3),G737,0)</f>
        <v>0</v>
      </c>
      <c r="CY634" s="1321"/>
      <c r="CZ634" s="1321"/>
      <c r="DA634" s="1321"/>
      <c r="DB634" s="1322"/>
      <c r="DC634" s="1320">
        <f>IF(AND(B737="2 Bedrooms",AH737&lt;=0.3),G737,0)</f>
        <v>0</v>
      </c>
      <c r="DD634" s="1321"/>
      <c r="DE634" s="1321"/>
      <c r="DF634" s="1321"/>
      <c r="DG634" s="1322"/>
      <c r="DH634" s="1320">
        <f>IF(AND(B737="3 Bedrooms",AH737&lt;=0.3),G737,0)</f>
        <v>0</v>
      </c>
      <c r="DI634" s="1321"/>
      <c r="DJ634" s="1321"/>
      <c r="DK634" s="1321"/>
      <c r="DL634" s="1322"/>
      <c r="DM634" s="1320">
        <f>IF(AND(B737="4 Bedrooms",AH737&lt;=0.3),G737,0)</f>
        <v>0</v>
      </c>
      <c r="DN634" s="1321"/>
      <c r="DO634" s="1321"/>
      <c r="DP634" s="1321"/>
      <c r="DQ634" s="1322"/>
      <c r="DR634" s="1320">
        <f>IF(AND(B737="5 Bedrooms",AH737&lt;=0.3),G737,0)</f>
        <v>0</v>
      </c>
      <c r="DS634" s="1321"/>
      <c r="DT634" s="1321"/>
      <c r="DU634" s="1321"/>
      <c r="DV634" s="1322"/>
    </row>
    <row r="635" spans="2:126" ht="12.95" customHeight="1" thickBot="1">
      <c r="B635" s="58" t="s">
        <v>742</v>
      </c>
      <c r="C635" s="1101"/>
      <c r="D635" s="1101"/>
      <c r="E635" s="1101"/>
      <c r="F635" s="1101"/>
      <c r="G635" s="1101"/>
      <c r="H635" s="1101"/>
      <c r="I635" s="1101"/>
      <c r="J635" s="1101"/>
      <c r="K635" s="1101"/>
      <c r="L635" s="1101"/>
      <c r="M635" s="1434" t="s">
        <v>1965</v>
      </c>
      <c r="N635" s="1434"/>
      <c r="O635" s="1434"/>
      <c r="P635" s="1434"/>
      <c r="Q635" s="1409"/>
      <c r="R635" s="1410"/>
      <c r="S635" s="1411"/>
      <c r="T635" s="1415"/>
      <c r="U635" s="1416"/>
      <c r="V635" s="1417"/>
      <c r="W635" s="1431"/>
      <c r="X635" s="1432"/>
      <c r="Y635" s="1433"/>
      <c r="Z635" s="1412" t="s">
        <v>1965</v>
      </c>
      <c r="AA635" s="1413"/>
      <c r="AB635" s="1414"/>
      <c r="AC635" s="1360"/>
      <c r="AD635" s="1361"/>
      <c r="AE635" s="1362"/>
      <c r="AF635" s="1246"/>
      <c r="AG635" s="1247"/>
      <c r="AH635" s="1247"/>
      <c r="AI635" s="1247"/>
      <c r="AJ635" s="1248"/>
      <c r="AK635" s="1402"/>
      <c r="AL635" s="1403"/>
      <c r="AM635" s="1403"/>
      <c r="AN635" s="1404"/>
      <c r="AO635" s="1249"/>
      <c r="AP635" s="1249"/>
      <c r="AQ635" s="1249"/>
      <c r="AR635" s="1249"/>
      <c r="AS635" s="1249"/>
      <c r="AT635" s="942" t="str">
        <f t="shared" si="27"/>
        <v/>
      </c>
      <c r="AU635" s="43"/>
      <c r="AV635" s="43"/>
      <c r="AW635" s="43"/>
      <c r="AX635" s="43"/>
      <c r="AY635" s="43"/>
      <c r="AZ635" s="43"/>
      <c r="BE635" s="41"/>
      <c r="BF635" s="41"/>
      <c r="BG635" s="1314">
        <f>SUM(BG600:BH634)</f>
        <v>36</v>
      </c>
      <c r="BH635" s="1316"/>
      <c r="BI635" s="41"/>
      <c r="BJ635" s="41"/>
      <c r="BK635" s="1314">
        <f>SUM(BK600:BL634)</f>
        <v>13</v>
      </c>
      <c r="BL635" s="1316"/>
      <c r="BN635" s="41" t="s">
        <v>1716</v>
      </c>
      <c r="BO635" s="41"/>
      <c r="BP635" s="41"/>
      <c r="BQ635" s="41"/>
      <c r="BR635" s="464">
        <f>BN634*1</f>
        <v>0</v>
      </c>
      <c r="BS635" s="41"/>
      <c r="BT635" s="41"/>
      <c r="BU635" s="41"/>
      <c r="BV635" s="41"/>
      <c r="BW635" s="464">
        <f>BS634*1</f>
        <v>13</v>
      </c>
      <c r="BX635" s="41"/>
      <c r="BY635" s="41"/>
      <c r="BZ635" s="41"/>
      <c r="CA635" s="41"/>
      <c r="CB635" s="464">
        <f>BX634*2</f>
        <v>46</v>
      </c>
      <c r="CC635" s="41"/>
      <c r="CD635" s="41"/>
      <c r="CE635" s="41"/>
      <c r="CF635" s="41"/>
      <c r="CG635" s="464">
        <f>CC634*3</f>
        <v>39</v>
      </c>
      <c r="CH635" s="41"/>
      <c r="CI635" s="41"/>
      <c r="CJ635" s="41"/>
      <c r="CK635" s="41"/>
      <c r="CL635" s="464">
        <f>CH634*4</f>
        <v>0</v>
      </c>
      <c r="CM635" s="41"/>
      <c r="CN635" s="41"/>
      <c r="CO635" s="41"/>
      <c r="CP635" s="41"/>
      <c r="CQ635" s="463">
        <f>CM634*5</f>
        <v>0</v>
      </c>
      <c r="CS635" s="1314">
        <f>SUM(CS600:CW634)</f>
        <v>0</v>
      </c>
      <c r="CT635" s="1315"/>
      <c r="CU635" s="1315"/>
      <c r="CV635" s="1315"/>
      <c r="CW635" s="1316"/>
      <c r="CX635" s="1314">
        <f>SUM(CX600:DB634)</f>
        <v>5</v>
      </c>
      <c r="CY635" s="1315"/>
      <c r="CZ635" s="1315"/>
      <c r="DA635" s="1315"/>
      <c r="DB635" s="1316"/>
      <c r="DC635" s="1314">
        <f>SUM(DC600:DG634)</f>
        <v>6</v>
      </c>
      <c r="DD635" s="1315"/>
      <c r="DE635" s="1315"/>
      <c r="DF635" s="1315"/>
      <c r="DG635" s="1316"/>
      <c r="DH635" s="1314">
        <f>SUM(DH600:DL634)</f>
        <v>2</v>
      </c>
      <c r="DI635" s="1315"/>
      <c r="DJ635" s="1315"/>
      <c r="DK635" s="1315"/>
      <c r="DL635" s="1316"/>
      <c r="DM635" s="1314">
        <f>SUM(DM600:DQ634)</f>
        <v>0</v>
      </c>
      <c r="DN635" s="1315"/>
      <c r="DO635" s="1315"/>
      <c r="DP635" s="1315"/>
      <c r="DQ635" s="1316"/>
      <c r="DR635" s="1314">
        <f>SUM(DR600:DV634)</f>
        <v>0</v>
      </c>
      <c r="DS635" s="1315"/>
      <c r="DT635" s="1315"/>
      <c r="DU635" s="1315"/>
      <c r="DV635" s="1316"/>
    </row>
    <row r="636" spans="2:126" ht="12.95" customHeight="1" thickBot="1">
      <c r="B636" s="58" t="s">
        <v>743</v>
      </c>
      <c r="C636" s="1101"/>
      <c r="D636" s="1101"/>
      <c r="E636" s="1101"/>
      <c r="F636" s="1101"/>
      <c r="G636" s="1101"/>
      <c r="H636" s="1101"/>
      <c r="I636" s="1101"/>
      <c r="J636" s="1101"/>
      <c r="K636" s="1101"/>
      <c r="L636" s="1101"/>
      <c r="M636" s="1434" t="s">
        <v>1965</v>
      </c>
      <c r="N636" s="1434"/>
      <c r="O636" s="1434"/>
      <c r="P636" s="1434"/>
      <c r="Q636" s="1409"/>
      <c r="R636" s="1410"/>
      <c r="S636" s="1411"/>
      <c r="T636" s="1415"/>
      <c r="U636" s="1416"/>
      <c r="V636" s="1417"/>
      <c r="W636" s="1431"/>
      <c r="X636" s="1432"/>
      <c r="Y636" s="1433"/>
      <c r="Z636" s="1412" t="s">
        <v>1965</v>
      </c>
      <c r="AA636" s="1413"/>
      <c r="AB636" s="1414"/>
      <c r="AC636" s="1360"/>
      <c r="AD636" s="1361"/>
      <c r="AE636" s="1362"/>
      <c r="AF636" s="1246"/>
      <c r="AG636" s="1247"/>
      <c r="AH636" s="1247"/>
      <c r="AI636" s="1247"/>
      <c r="AJ636" s="1248"/>
      <c r="AK636" s="1402"/>
      <c r="AL636" s="1403"/>
      <c r="AM636" s="1403"/>
      <c r="AN636" s="1404"/>
      <c r="AO636" s="1249"/>
      <c r="AP636" s="1249"/>
      <c r="AQ636" s="1249"/>
      <c r="AR636" s="1249"/>
      <c r="AS636" s="1249"/>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98</v>
      </c>
      <c r="CR636" s="41"/>
      <c r="CS636" s="41"/>
    </row>
    <row r="637" spans="2:126" ht="12.95" customHeight="1">
      <c r="B637" s="58" t="s">
        <v>546</v>
      </c>
      <c r="C637" s="1101"/>
      <c r="D637" s="1101"/>
      <c r="E637" s="1101"/>
      <c r="F637" s="1101"/>
      <c r="G637" s="1101"/>
      <c r="H637" s="1101"/>
      <c r="I637" s="1101"/>
      <c r="J637" s="1101"/>
      <c r="K637" s="1101"/>
      <c r="L637" s="1101"/>
      <c r="M637" s="1434" t="s">
        <v>1965</v>
      </c>
      <c r="N637" s="1434"/>
      <c r="O637" s="1434"/>
      <c r="P637" s="1434"/>
      <c r="Q637" s="1409"/>
      <c r="R637" s="1410"/>
      <c r="S637" s="1411"/>
      <c r="T637" s="1415"/>
      <c r="U637" s="1416"/>
      <c r="V637" s="1417"/>
      <c r="W637" s="1431"/>
      <c r="X637" s="1432"/>
      <c r="Y637" s="1433"/>
      <c r="Z637" s="1412" t="s">
        <v>1965</v>
      </c>
      <c r="AA637" s="1413"/>
      <c r="AB637" s="1414"/>
      <c r="AC637" s="1360"/>
      <c r="AD637" s="1361"/>
      <c r="AE637" s="1362"/>
      <c r="AF637" s="1246"/>
      <c r="AG637" s="1247"/>
      <c r="AH637" s="1247"/>
      <c r="AI637" s="1247"/>
      <c r="AJ637" s="1248"/>
      <c r="AK637" s="1402"/>
      <c r="AL637" s="1403"/>
      <c r="AM637" s="1403"/>
      <c r="AN637" s="1404"/>
      <c r="AO637" s="1249"/>
      <c r="AP637" s="1249"/>
      <c r="AQ637" s="1249"/>
      <c r="AR637" s="1249"/>
      <c r="AS637" s="1249"/>
      <c r="AT637" s="942" t="str">
        <f t="shared" si="27"/>
        <v/>
      </c>
      <c r="AU637" s="41"/>
      <c r="AV637" s="41"/>
      <c r="AW637" s="41"/>
      <c r="AX637" s="41"/>
      <c r="AY637" s="41"/>
      <c r="AZ637" s="41"/>
      <c r="BN637" s="1308">
        <f>IF(J760="SRO/Studio",O760,0)</f>
        <v>0</v>
      </c>
      <c r="BO637" s="1309"/>
      <c r="BP637" s="1309"/>
      <c r="BQ637" s="1309"/>
      <c r="BR637" s="1310"/>
      <c r="BS637" s="1308">
        <f>IF(J760="1 Bedroom",O760,0)</f>
        <v>0</v>
      </c>
      <c r="BT637" s="1309"/>
      <c r="BU637" s="1309"/>
      <c r="BV637" s="1309"/>
      <c r="BW637" s="1310"/>
      <c r="BX637" s="1308">
        <f>IF(J760="2 Bedrooms",O760,0)</f>
        <v>1</v>
      </c>
      <c r="BY637" s="1309"/>
      <c r="BZ637" s="1309"/>
      <c r="CA637" s="1309"/>
      <c r="CB637" s="1310"/>
      <c r="CC637" s="1308">
        <f>IF(J760="3 Bedrooms",O760,0)</f>
        <v>0</v>
      </c>
      <c r="CD637" s="1309"/>
      <c r="CE637" s="1309"/>
      <c r="CF637" s="1309"/>
      <c r="CG637" s="1310"/>
      <c r="CH637" s="1308">
        <f>IF(J760="4 Bedrooms",O760,0)</f>
        <v>0</v>
      </c>
      <c r="CI637" s="1309"/>
      <c r="CJ637" s="1309"/>
      <c r="CK637" s="1309"/>
      <c r="CL637" s="1310"/>
      <c r="CM637" s="1317">
        <f>IF(J760="5 Bedrooms",O760,0)</f>
        <v>0</v>
      </c>
      <c r="CN637" s="1318"/>
      <c r="CO637" s="1318"/>
      <c r="CP637" s="1318"/>
      <c r="CQ637" s="1319"/>
      <c r="CR637" s="41"/>
      <c r="CS637" s="41"/>
    </row>
    <row r="638" spans="2:126" ht="12.95" customHeight="1">
      <c r="B638" s="58" t="s">
        <v>174</v>
      </c>
      <c r="C638" s="1101"/>
      <c r="D638" s="1101"/>
      <c r="E638" s="1101"/>
      <c r="F638" s="1101"/>
      <c r="G638" s="1101"/>
      <c r="H638" s="1101"/>
      <c r="I638" s="1101"/>
      <c r="J638" s="1101"/>
      <c r="K638" s="1101"/>
      <c r="L638" s="1101"/>
      <c r="M638" s="1434" t="s">
        <v>1965</v>
      </c>
      <c r="N638" s="1434"/>
      <c r="O638" s="1434"/>
      <c r="P638" s="1434"/>
      <c r="Q638" s="1409"/>
      <c r="R638" s="1410"/>
      <c r="S638" s="1411"/>
      <c r="T638" s="1415"/>
      <c r="U638" s="1416"/>
      <c r="V638" s="1417"/>
      <c r="W638" s="1431"/>
      <c r="X638" s="1432"/>
      <c r="Y638" s="1433"/>
      <c r="Z638" s="1412" t="s">
        <v>1965</v>
      </c>
      <c r="AA638" s="1413"/>
      <c r="AB638" s="1414"/>
      <c r="AC638" s="1360"/>
      <c r="AD638" s="1361"/>
      <c r="AE638" s="1362"/>
      <c r="AF638" s="1246"/>
      <c r="AG638" s="1247"/>
      <c r="AH638" s="1247"/>
      <c r="AI638" s="1247"/>
      <c r="AJ638" s="1248"/>
      <c r="AK638" s="1402"/>
      <c r="AL638" s="1403"/>
      <c r="AM638" s="1403"/>
      <c r="AN638" s="1404"/>
      <c r="AO638" s="1249"/>
      <c r="AP638" s="1249"/>
      <c r="AQ638" s="1249"/>
      <c r="AR638" s="1249"/>
      <c r="AS638" s="1249"/>
      <c r="AT638" s="942" t="str">
        <f t="shared" si="27"/>
        <v/>
      </c>
      <c r="AU638" s="41"/>
      <c r="AV638" s="41"/>
      <c r="AW638" s="41"/>
      <c r="AX638" s="41"/>
      <c r="AY638" s="41"/>
      <c r="AZ638" s="41"/>
      <c r="BN638" s="1308">
        <f>IF(J761="SRO/Studio",O761,0)</f>
        <v>0</v>
      </c>
      <c r="BO638" s="1309"/>
      <c r="BP638" s="1309"/>
      <c r="BQ638" s="1309"/>
      <c r="BR638" s="1310"/>
      <c r="BS638" s="1308">
        <f>IF(J761="1 Bedroom",O761,0)</f>
        <v>0</v>
      </c>
      <c r="BT638" s="1309"/>
      <c r="BU638" s="1309"/>
      <c r="BV638" s="1309"/>
      <c r="BW638" s="1310"/>
      <c r="BX638" s="1308">
        <f>IF(J761="2 Bedrooms",O761,0)</f>
        <v>0</v>
      </c>
      <c r="BY638" s="1309"/>
      <c r="BZ638" s="1309"/>
      <c r="CA638" s="1309"/>
      <c r="CB638" s="1310"/>
      <c r="CC638" s="1308">
        <f>IF(J761="3 Bedrooms",O761,0)</f>
        <v>0</v>
      </c>
      <c r="CD638" s="1309"/>
      <c r="CE638" s="1309"/>
      <c r="CF638" s="1309"/>
      <c r="CG638" s="1310"/>
      <c r="CH638" s="1308">
        <f>IF(J761="4 Bedrooms",O761,0)</f>
        <v>0</v>
      </c>
      <c r="CI638" s="1309"/>
      <c r="CJ638" s="1309"/>
      <c r="CK638" s="1309"/>
      <c r="CL638" s="1310"/>
      <c r="CM638" s="1317">
        <f>IF(J761="5 Bedrooms",O761,0)</f>
        <v>0</v>
      </c>
      <c r="CN638" s="1318"/>
      <c r="CO638" s="1318"/>
      <c r="CP638" s="1318"/>
      <c r="CQ638" s="1319"/>
      <c r="CR638" s="41"/>
      <c r="CS638" s="41"/>
    </row>
    <row r="639" spans="2:126" ht="12.95" customHeight="1">
      <c r="B639" s="58" t="s">
        <v>32</v>
      </c>
      <c r="C639" s="1101"/>
      <c r="D639" s="1101"/>
      <c r="E639" s="1101"/>
      <c r="F639" s="1101"/>
      <c r="G639" s="1101"/>
      <c r="H639" s="1101"/>
      <c r="I639" s="1101"/>
      <c r="J639" s="1101"/>
      <c r="K639" s="1101"/>
      <c r="L639" s="1101"/>
      <c r="M639" s="1434" t="s">
        <v>1965</v>
      </c>
      <c r="N639" s="1434"/>
      <c r="O639" s="1434"/>
      <c r="P639" s="1434"/>
      <c r="Q639" s="1409"/>
      <c r="R639" s="1410"/>
      <c r="S639" s="1411"/>
      <c r="T639" s="1415"/>
      <c r="U639" s="1416"/>
      <c r="V639" s="1417"/>
      <c r="W639" s="1431"/>
      <c r="X639" s="1432"/>
      <c r="Y639" s="1433"/>
      <c r="Z639" s="1412" t="s">
        <v>1965</v>
      </c>
      <c r="AA639" s="1413"/>
      <c r="AB639" s="1414"/>
      <c r="AC639" s="1360"/>
      <c r="AD639" s="1361"/>
      <c r="AE639" s="1362"/>
      <c r="AF639" s="1246"/>
      <c r="AG639" s="1247"/>
      <c r="AH639" s="1247"/>
      <c r="AI639" s="1247"/>
      <c r="AJ639" s="1248"/>
      <c r="AK639" s="1402"/>
      <c r="AL639" s="1403"/>
      <c r="AM639" s="1403"/>
      <c r="AN639" s="1404"/>
      <c r="AO639" s="1249"/>
      <c r="AP639" s="1249"/>
      <c r="AQ639" s="1249"/>
      <c r="AR639" s="1249"/>
      <c r="AS639" s="1249"/>
      <c r="AT639" s="942" t="str">
        <f t="shared" si="27"/>
        <v/>
      </c>
      <c r="AU639" s="41"/>
      <c r="AV639" s="41"/>
      <c r="AW639" s="41"/>
      <c r="AX639" s="41"/>
      <c r="AY639" s="41"/>
      <c r="AZ639" s="41"/>
      <c r="BN639" s="1308">
        <f>IF(J762="SRO/Studio",O762,0)</f>
        <v>0</v>
      </c>
      <c r="BO639" s="1309"/>
      <c r="BP639" s="1309"/>
      <c r="BQ639" s="1309"/>
      <c r="BR639" s="1310"/>
      <c r="BS639" s="1308">
        <f>IF(J762="1 Bedroom",O762,0)</f>
        <v>0</v>
      </c>
      <c r="BT639" s="1309"/>
      <c r="BU639" s="1309"/>
      <c r="BV639" s="1309"/>
      <c r="BW639" s="1310"/>
      <c r="BX639" s="1308">
        <f>IF(J762="2 Bedrooms",O762,0)</f>
        <v>0</v>
      </c>
      <c r="BY639" s="1309"/>
      <c r="BZ639" s="1309"/>
      <c r="CA639" s="1309"/>
      <c r="CB639" s="1310"/>
      <c r="CC639" s="1308">
        <f>IF(J762="3 Bedrooms",O762,0)</f>
        <v>0</v>
      </c>
      <c r="CD639" s="1309"/>
      <c r="CE639" s="1309"/>
      <c r="CF639" s="1309"/>
      <c r="CG639" s="1310"/>
      <c r="CH639" s="1308">
        <f>IF(J762="4 Bedrooms",O762,0)</f>
        <v>0</v>
      </c>
      <c r="CI639" s="1309"/>
      <c r="CJ639" s="1309"/>
      <c r="CK639" s="1309"/>
      <c r="CL639" s="1310"/>
      <c r="CM639" s="1317">
        <f>IF(J762="5 Bedrooms",O762,0)</f>
        <v>0</v>
      </c>
      <c r="CN639" s="1318"/>
      <c r="CO639" s="1318"/>
      <c r="CP639" s="1318"/>
      <c r="CQ639" s="1319"/>
      <c r="CR639" s="41"/>
      <c r="CS639" s="41"/>
    </row>
    <row r="640" spans="2:126" ht="12.95" customHeight="1">
      <c r="B640" s="58" t="s">
        <v>33</v>
      </c>
      <c r="C640" s="1101"/>
      <c r="D640" s="1101"/>
      <c r="E640" s="1101"/>
      <c r="F640" s="1101"/>
      <c r="G640" s="1101"/>
      <c r="H640" s="1101"/>
      <c r="I640" s="1101"/>
      <c r="J640" s="1101"/>
      <c r="K640" s="1101"/>
      <c r="L640" s="1101"/>
      <c r="M640" s="1434" t="s">
        <v>1965</v>
      </c>
      <c r="N640" s="1434"/>
      <c r="O640" s="1434"/>
      <c r="P640" s="1434"/>
      <c r="Q640" s="1409"/>
      <c r="R640" s="1410"/>
      <c r="S640" s="1411"/>
      <c r="T640" s="1415"/>
      <c r="U640" s="1416"/>
      <c r="V640" s="1417"/>
      <c r="W640" s="1431"/>
      <c r="X640" s="1432"/>
      <c r="Y640" s="1433"/>
      <c r="Z640" s="1412" t="s">
        <v>1965</v>
      </c>
      <c r="AA640" s="1413"/>
      <c r="AB640" s="1414"/>
      <c r="AC640" s="1360"/>
      <c r="AD640" s="1361"/>
      <c r="AE640" s="1362"/>
      <c r="AF640" s="1246"/>
      <c r="AG640" s="1247"/>
      <c r="AH640" s="1247"/>
      <c r="AI640" s="1247"/>
      <c r="AJ640" s="1248"/>
      <c r="AK640" s="1402"/>
      <c r="AL640" s="1403"/>
      <c r="AM640" s="1403"/>
      <c r="AN640" s="1404"/>
      <c r="AO640" s="1249"/>
      <c r="AP640" s="1249"/>
      <c r="AQ640" s="1249"/>
      <c r="AR640" s="1249"/>
      <c r="AS640" s="1249"/>
      <c r="AT640" s="942" t="str">
        <f t="shared" si="27"/>
        <v/>
      </c>
      <c r="AU640" s="43"/>
      <c r="AV640" s="43"/>
      <c r="AW640" s="43"/>
      <c r="AX640" s="43"/>
      <c r="AY640" s="43"/>
      <c r="AZ640" s="43"/>
      <c r="BN640" s="1308">
        <f>IF(J763="SRO/Studio",O763,0)</f>
        <v>0</v>
      </c>
      <c r="BO640" s="1309"/>
      <c r="BP640" s="1309"/>
      <c r="BQ640" s="1309"/>
      <c r="BR640" s="1310"/>
      <c r="BS640" s="1308">
        <f>IF(J763="1 Bedroom",O763,0)</f>
        <v>0</v>
      </c>
      <c r="BT640" s="1309"/>
      <c r="BU640" s="1309"/>
      <c r="BV640" s="1309"/>
      <c r="BW640" s="1310"/>
      <c r="BX640" s="1308">
        <f>IF(J763="2 Bedrooms",O763,0)</f>
        <v>0</v>
      </c>
      <c r="BY640" s="1309"/>
      <c r="BZ640" s="1309"/>
      <c r="CA640" s="1309"/>
      <c r="CB640" s="1310"/>
      <c r="CC640" s="1308">
        <f>IF(J763="3 Bedrooms",O763,0)</f>
        <v>0</v>
      </c>
      <c r="CD640" s="1309"/>
      <c r="CE640" s="1309"/>
      <c r="CF640" s="1309"/>
      <c r="CG640" s="1310"/>
      <c r="CH640" s="1308">
        <f>IF(J763="4 Bedrooms",O763,0)</f>
        <v>0</v>
      </c>
      <c r="CI640" s="1309"/>
      <c r="CJ640" s="1309"/>
      <c r="CK640" s="1309"/>
      <c r="CL640" s="1310"/>
      <c r="CM640" s="1317">
        <f>IF(J763="5 Bedrooms",O763,0)</f>
        <v>0</v>
      </c>
      <c r="CN640" s="1318"/>
      <c r="CO640" s="1318"/>
      <c r="CP640" s="1318"/>
      <c r="CQ640" s="1319"/>
      <c r="CR640" s="41"/>
      <c r="CS640" s="41"/>
    </row>
    <row r="641" spans="1:99" ht="12.95" customHeight="1">
      <c r="B641" s="1225" t="s">
        <v>358</v>
      </c>
      <c r="C641" s="1226"/>
      <c r="D641" s="1226"/>
      <c r="E641" s="1226"/>
      <c r="F641" s="1226"/>
      <c r="G641" s="1226"/>
      <c r="H641" s="1226"/>
      <c r="I641" s="1226"/>
      <c r="J641" s="1226"/>
      <c r="K641" s="1226"/>
      <c r="L641" s="1226"/>
      <c r="M641" s="1226"/>
      <c r="N641" s="1226"/>
      <c r="O641" s="1226"/>
      <c r="P641" s="1226"/>
      <c r="Q641" s="1226"/>
      <c r="R641" s="1226"/>
      <c r="S641" s="1226"/>
      <c r="T641" s="1226"/>
      <c r="U641" s="1226"/>
      <c r="V641" s="1226"/>
      <c r="W641" s="1226"/>
      <c r="X641" s="1226"/>
      <c r="Y641" s="1226"/>
      <c r="Z641" s="1226"/>
      <c r="AA641" s="1226"/>
      <c r="AB641" s="1226"/>
      <c r="AC641" s="1226"/>
      <c r="AD641" s="1226"/>
      <c r="AE641" s="1226"/>
      <c r="AF641" s="1226"/>
      <c r="AG641" s="1226"/>
      <c r="AH641" s="1226"/>
      <c r="AI641" s="1226"/>
      <c r="AJ641" s="1226"/>
      <c r="AK641" s="1226"/>
      <c r="AL641" s="1226"/>
      <c r="AM641" s="1226"/>
      <c r="AN641" s="1227"/>
      <c r="AO641" s="1236">
        <f>SUM(AO629:AS640)</f>
        <v>9302832</v>
      </c>
      <c r="AP641" s="1237"/>
      <c r="AQ641" s="1237"/>
      <c r="AR641" s="1237"/>
      <c r="AS641" s="1238"/>
      <c r="AT641" s="43"/>
      <c r="AU641" s="43"/>
      <c r="AV641" s="43"/>
      <c r="AW641" s="43"/>
      <c r="AX641" s="43"/>
      <c r="AY641" s="43"/>
      <c r="AZ641" s="43"/>
      <c r="BN641" s="1311">
        <f>SUM(BN637:BR640)</f>
        <v>0</v>
      </c>
      <c r="BO641" s="1312"/>
      <c r="BP641" s="1312"/>
      <c r="BQ641" s="1312"/>
      <c r="BR641" s="1313"/>
      <c r="BS641" s="1311">
        <f>SUM(BS637:BW640)</f>
        <v>0</v>
      </c>
      <c r="BT641" s="1312"/>
      <c r="BU641" s="1312"/>
      <c r="BV641" s="1312"/>
      <c r="BW641" s="1313"/>
      <c r="BX641" s="1311">
        <f>SUM(BX637:CB640)</f>
        <v>1</v>
      </c>
      <c r="BY641" s="1312"/>
      <c r="BZ641" s="1312"/>
      <c r="CA641" s="1312"/>
      <c r="CB641" s="1313"/>
      <c r="CC641" s="1311">
        <f>SUM(CC637:CG640)</f>
        <v>0</v>
      </c>
      <c r="CD641" s="1312"/>
      <c r="CE641" s="1312"/>
      <c r="CF641" s="1312"/>
      <c r="CG641" s="1313"/>
      <c r="CH641" s="1311">
        <f>SUM(CH637:CL640)</f>
        <v>0</v>
      </c>
      <c r="CI641" s="1312"/>
      <c r="CJ641" s="1312"/>
      <c r="CK641" s="1312"/>
      <c r="CL641" s="1313"/>
      <c r="CM641" s="1311">
        <f>SUM(CM637:CQ640)</f>
        <v>0</v>
      </c>
      <c r="CN641" s="1312"/>
      <c r="CO641" s="1312"/>
      <c r="CP641" s="1312"/>
      <c r="CQ641" s="1313"/>
      <c r="CS641" s="464">
        <f>BN641+BS641+BX641+CC641+CH641+CM641</f>
        <v>1</v>
      </c>
      <c r="CT641" s="63" t="s">
        <v>1969</v>
      </c>
      <c r="CU641" s="41"/>
    </row>
    <row r="642" spans="1:99" ht="12.95" customHeight="1">
      <c r="B642" s="1225" t="s">
        <v>359</v>
      </c>
      <c r="C642" s="1226"/>
      <c r="D642" s="1226"/>
      <c r="E642" s="1226"/>
      <c r="F642" s="1226"/>
      <c r="G642" s="1226"/>
      <c r="H642" s="1226"/>
      <c r="I642" s="1226"/>
      <c r="J642" s="1226"/>
      <c r="K642" s="1226"/>
      <c r="L642" s="1226"/>
      <c r="M642" s="1226"/>
      <c r="N642" s="1226"/>
      <c r="O642" s="1226"/>
      <c r="P642" s="1226"/>
      <c r="Q642" s="1226"/>
      <c r="R642" s="1226"/>
      <c r="S642" s="1226"/>
      <c r="T642" s="1226"/>
      <c r="U642" s="1226"/>
      <c r="V642" s="1226"/>
      <c r="W642" s="1226"/>
      <c r="X642" s="1226"/>
      <c r="Y642" s="1226"/>
      <c r="Z642" s="1226"/>
      <c r="AA642" s="1226"/>
      <c r="AB642" s="1226"/>
      <c r="AC642" s="1226"/>
      <c r="AD642" s="1226"/>
      <c r="AE642" s="1226"/>
      <c r="AF642" s="1226"/>
      <c r="AG642" s="1226"/>
      <c r="AH642" s="1226"/>
      <c r="AI642" s="1226"/>
      <c r="AJ642" s="1226"/>
      <c r="AK642" s="1226"/>
      <c r="AL642" s="1226"/>
      <c r="AM642" s="1226"/>
      <c r="AN642" s="1227"/>
      <c r="AO642" s="1128">
        <v>21011155</v>
      </c>
      <c r="AP642" s="1129"/>
      <c r="AQ642" s="1129"/>
      <c r="AR642" s="1129"/>
      <c r="AS642" s="1130"/>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95" t="s">
        <v>940</v>
      </c>
      <c r="C643" s="1496"/>
      <c r="D643" s="1496"/>
      <c r="E643" s="1496"/>
      <c r="F643" s="1496"/>
      <c r="G643" s="1496"/>
      <c r="H643" s="1496"/>
      <c r="I643" s="1496"/>
      <c r="J643" s="1496"/>
      <c r="K643" s="1496"/>
      <c r="L643" s="1496"/>
      <c r="M643" s="1496"/>
      <c r="N643" s="1496"/>
      <c r="O643" s="1496"/>
      <c r="P643" s="1496"/>
      <c r="Q643" s="1496"/>
      <c r="R643" s="1496"/>
      <c r="S643" s="1496"/>
      <c r="T643" s="1496"/>
      <c r="U643" s="1496"/>
      <c r="V643" s="1496"/>
      <c r="W643" s="1496"/>
      <c r="X643" s="1496"/>
      <c r="Y643" s="1496"/>
      <c r="Z643" s="1496"/>
      <c r="AA643" s="1496"/>
      <c r="AB643" s="1496"/>
      <c r="AC643" s="1496"/>
      <c r="AD643" s="1496"/>
      <c r="AE643" s="1496"/>
      <c r="AF643" s="1496"/>
      <c r="AG643" s="1496"/>
      <c r="AH643" s="1496"/>
      <c r="AI643" s="1496"/>
      <c r="AJ643" s="1496"/>
      <c r="AK643" s="1496"/>
      <c r="AL643" s="1496"/>
      <c r="AM643" s="1496"/>
      <c r="AN643" s="1497"/>
      <c r="AO643" s="1236">
        <f>AO641+AO642</f>
        <v>30313987</v>
      </c>
      <c r="AP643" s="1237"/>
      <c r="AQ643" s="1237"/>
      <c r="AR643" s="1237"/>
      <c r="AS643" s="1238"/>
      <c r="AT643" s="43"/>
      <c r="AU643" s="43"/>
      <c r="AV643" s="43"/>
      <c r="AW643" s="43"/>
      <c r="AX643" s="43"/>
      <c r="AY643" s="43"/>
      <c r="AZ643" s="43"/>
      <c r="BN643" s="1308">
        <f t="shared" ref="BN643:BN652" si="28">IF(J774="SRO/Studio",O774,0)</f>
        <v>0</v>
      </c>
      <c r="BO643" s="1309"/>
      <c r="BP643" s="1309"/>
      <c r="BQ643" s="1309"/>
      <c r="BR643" s="1310"/>
      <c r="BS643" s="1308">
        <f t="shared" ref="BS643:BS652" si="29">IF(J774="1 Bedroom",O774,0)</f>
        <v>0</v>
      </c>
      <c r="BT643" s="1309"/>
      <c r="BU643" s="1309"/>
      <c r="BV643" s="1309"/>
      <c r="BW643" s="1310"/>
      <c r="BX643" s="1308">
        <f t="shared" ref="BX643:BX652" si="30">IF(J774="2 Bedrooms",O774,0)</f>
        <v>0</v>
      </c>
      <c r="BY643" s="1309"/>
      <c r="BZ643" s="1309"/>
      <c r="CA643" s="1309"/>
      <c r="CB643" s="1310"/>
      <c r="CC643" s="1308">
        <f t="shared" ref="CC643:CC652" si="31">IF(J774="3 Bedrooms",O774,0)</f>
        <v>0</v>
      </c>
      <c r="CD643" s="1309"/>
      <c r="CE643" s="1309"/>
      <c r="CF643" s="1309"/>
      <c r="CG643" s="1310"/>
      <c r="CH643" s="1308">
        <f t="shared" ref="CH643:CH652" si="32">IF(J774="4 Bedrooms",O774,0)</f>
        <v>0</v>
      </c>
      <c r="CI643" s="1309"/>
      <c r="CJ643" s="1309"/>
      <c r="CK643" s="1309"/>
      <c r="CL643" s="1310"/>
      <c r="CM643" s="1308">
        <f t="shared" ref="CM643:CM652" si="33">IF(J774="5 Bedrooms",O774,0)</f>
        <v>0</v>
      </c>
      <c r="CN643" s="1309"/>
      <c r="CO643" s="1309"/>
      <c r="CP643" s="1309"/>
      <c r="CQ643" s="1310"/>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308">
        <f t="shared" si="28"/>
        <v>0</v>
      </c>
      <c r="BO644" s="1309"/>
      <c r="BP644" s="1309"/>
      <c r="BQ644" s="1309"/>
      <c r="BR644" s="1310"/>
      <c r="BS644" s="1308">
        <f t="shared" si="29"/>
        <v>0</v>
      </c>
      <c r="BT644" s="1309"/>
      <c r="BU644" s="1309"/>
      <c r="BV644" s="1309"/>
      <c r="BW644" s="1310"/>
      <c r="BX644" s="1308">
        <f t="shared" si="30"/>
        <v>0</v>
      </c>
      <c r="BY644" s="1309"/>
      <c r="BZ644" s="1309"/>
      <c r="CA644" s="1309"/>
      <c r="CB644" s="1310"/>
      <c r="CC644" s="1308">
        <f t="shared" si="31"/>
        <v>0</v>
      </c>
      <c r="CD644" s="1309"/>
      <c r="CE644" s="1309"/>
      <c r="CF644" s="1309"/>
      <c r="CG644" s="1310"/>
      <c r="CH644" s="1308">
        <f t="shared" si="32"/>
        <v>0</v>
      </c>
      <c r="CI644" s="1309"/>
      <c r="CJ644" s="1309"/>
      <c r="CK644" s="1309"/>
      <c r="CL644" s="1310"/>
      <c r="CM644" s="1308">
        <f t="shared" si="33"/>
        <v>0</v>
      </c>
      <c r="CN644" s="1309"/>
      <c r="CO644" s="1309"/>
      <c r="CP644" s="1309"/>
      <c r="CQ644" s="1310"/>
      <c r="CR644" s="41"/>
      <c r="CS644" s="41"/>
    </row>
    <row r="645" spans="1:99" ht="12.95" customHeight="1">
      <c r="A645" s="61" t="s">
        <v>900</v>
      </c>
      <c r="B645" t="s">
        <v>82</v>
      </c>
      <c r="C645"/>
      <c r="G645" s="1306" t="str">
        <f>C629</f>
        <v xml:space="preserve">Citi Bank </v>
      </c>
      <c r="H645" s="1306"/>
      <c r="I645" s="1306"/>
      <c r="J645" s="1306"/>
      <c r="K645" s="1306"/>
      <c r="L645" s="1306"/>
      <c r="M645" s="1306"/>
      <c r="N645" s="1306"/>
      <c r="O645" s="1306"/>
      <c r="P645" s="1306"/>
      <c r="Q645" s="1306"/>
      <c r="R645" s="1306"/>
      <c r="S645" s="12"/>
      <c r="T645" s="61" t="s">
        <v>901</v>
      </c>
      <c r="U645" t="s">
        <v>82</v>
      </c>
      <c r="Z645" s="1306" t="str">
        <f>C630</f>
        <v>Developer Fee</v>
      </c>
      <c r="AA645" s="1306"/>
      <c r="AB645" s="1306"/>
      <c r="AC645" s="1306"/>
      <c r="AD645" s="1306"/>
      <c r="AE645" s="1306"/>
      <c r="AF645" s="1306"/>
      <c r="AG645" s="1306"/>
      <c r="AH645" s="1306"/>
      <c r="AI645" s="1306"/>
      <c r="AJ645" s="1306"/>
      <c r="AK645" s="1306"/>
      <c r="AM645" s="43"/>
      <c r="AN645" s="43"/>
      <c r="AO645" s="43"/>
      <c r="AP645" s="43"/>
      <c r="AQ645" s="43"/>
      <c r="AR645" s="43"/>
      <c r="AS645" s="43"/>
      <c r="AT645" s="43"/>
      <c r="AU645" s="43"/>
      <c r="AV645" s="43"/>
      <c r="AW645" s="43"/>
      <c r="AX645" s="43"/>
      <c r="AY645" s="43"/>
      <c r="AZ645" s="43"/>
      <c r="BN645" s="1308">
        <f t="shared" si="28"/>
        <v>0</v>
      </c>
      <c r="BO645" s="1309"/>
      <c r="BP645" s="1309"/>
      <c r="BQ645" s="1309"/>
      <c r="BR645" s="1310"/>
      <c r="BS645" s="1308">
        <f t="shared" si="29"/>
        <v>0</v>
      </c>
      <c r="BT645" s="1309"/>
      <c r="BU645" s="1309"/>
      <c r="BV645" s="1309"/>
      <c r="BW645" s="1310"/>
      <c r="BX645" s="1308">
        <f t="shared" si="30"/>
        <v>0</v>
      </c>
      <c r="BY645" s="1309"/>
      <c r="BZ645" s="1309"/>
      <c r="CA645" s="1309"/>
      <c r="CB645" s="1310"/>
      <c r="CC645" s="1308">
        <f t="shared" si="31"/>
        <v>0</v>
      </c>
      <c r="CD645" s="1309"/>
      <c r="CE645" s="1309"/>
      <c r="CF645" s="1309"/>
      <c r="CG645" s="1310"/>
      <c r="CH645" s="1308">
        <f t="shared" si="32"/>
        <v>0</v>
      </c>
      <c r="CI645" s="1309"/>
      <c r="CJ645" s="1309"/>
      <c r="CK645" s="1309"/>
      <c r="CL645" s="1310"/>
      <c r="CM645" s="1308">
        <f t="shared" si="33"/>
        <v>0</v>
      </c>
      <c r="CN645" s="1309"/>
      <c r="CO645" s="1309"/>
      <c r="CP645" s="1309"/>
      <c r="CQ645" s="1310"/>
      <c r="CR645" s="41"/>
      <c r="CS645" s="41"/>
    </row>
    <row r="646" spans="1:99" ht="12.95" customHeight="1">
      <c r="A646" s="4"/>
      <c r="B646" t="s">
        <v>372</v>
      </c>
      <c r="C646"/>
      <c r="G646" s="1063" t="s">
        <v>2450</v>
      </c>
      <c r="H646" s="1063"/>
      <c r="I646" s="1063"/>
      <c r="J646" s="1063"/>
      <c r="K646" s="1063"/>
      <c r="L646" s="1063"/>
      <c r="M646" s="1063"/>
      <c r="N646" s="1063"/>
      <c r="O646" s="1063"/>
      <c r="P646" s="1063"/>
      <c r="Q646" s="1063"/>
      <c r="R646" s="1063"/>
      <c r="S646" s="12"/>
      <c r="T646" s="4"/>
      <c r="U646" t="s">
        <v>372</v>
      </c>
      <c r="Z646" s="1063" t="s">
        <v>2382</v>
      </c>
      <c r="AA646" s="1063"/>
      <c r="AB646" s="1063"/>
      <c r="AC646" s="1063"/>
      <c r="AD646" s="1063"/>
      <c r="AE646" s="1063"/>
      <c r="AF646" s="1063"/>
      <c r="AG646" s="1063"/>
      <c r="AH646" s="1063"/>
      <c r="AI646" s="1063"/>
      <c r="AJ646" s="1063"/>
      <c r="AK646" s="1063"/>
      <c r="AM646" s="43"/>
      <c r="AN646" s="43"/>
      <c r="AO646" s="43"/>
      <c r="AP646" s="43"/>
      <c r="AQ646" s="43"/>
      <c r="AR646" s="43"/>
      <c r="AS646" s="43"/>
      <c r="AT646" s="43"/>
      <c r="AU646" s="43"/>
      <c r="AV646" s="43"/>
      <c r="AW646" s="43"/>
      <c r="AX646" s="43"/>
      <c r="AY646" s="43"/>
      <c r="AZ646" s="43"/>
      <c r="BN646" s="1308">
        <f t="shared" si="28"/>
        <v>0</v>
      </c>
      <c r="BO646" s="1309"/>
      <c r="BP646" s="1309"/>
      <c r="BQ646" s="1309"/>
      <c r="BR646" s="1310"/>
      <c r="BS646" s="1308">
        <f t="shared" si="29"/>
        <v>0</v>
      </c>
      <c r="BT646" s="1309"/>
      <c r="BU646" s="1309"/>
      <c r="BV646" s="1309"/>
      <c r="BW646" s="1310"/>
      <c r="BX646" s="1308">
        <f t="shared" si="30"/>
        <v>0</v>
      </c>
      <c r="BY646" s="1309"/>
      <c r="BZ646" s="1309"/>
      <c r="CA646" s="1309"/>
      <c r="CB646" s="1310"/>
      <c r="CC646" s="1308">
        <f t="shared" si="31"/>
        <v>0</v>
      </c>
      <c r="CD646" s="1309"/>
      <c r="CE646" s="1309"/>
      <c r="CF646" s="1309"/>
      <c r="CG646" s="1310"/>
      <c r="CH646" s="1308">
        <f t="shared" si="32"/>
        <v>0</v>
      </c>
      <c r="CI646" s="1309"/>
      <c r="CJ646" s="1309"/>
      <c r="CK646" s="1309"/>
      <c r="CL646" s="1310"/>
      <c r="CM646" s="1308">
        <f t="shared" si="33"/>
        <v>0</v>
      </c>
      <c r="CN646" s="1309"/>
      <c r="CO646" s="1309"/>
      <c r="CP646" s="1309"/>
      <c r="CQ646" s="1310"/>
      <c r="CR646" s="41"/>
      <c r="CS646" s="41"/>
    </row>
    <row r="647" spans="1:99" ht="12.95" customHeight="1">
      <c r="A647" s="4"/>
      <c r="B647" t="s">
        <v>430</v>
      </c>
      <c r="C647"/>
      <c r="G647" s="1063" t="s">
        <v>2451</v>
      </c>
      <c r="H647" s="1063"/>
      <c r="I647" s="1063"/>
      <c r="J647" s="1063"/>
      <c r="K647" s="1063"/>
      <c r="L647" s="1063"/>
      <c r="M647" s="1063"/>
      <c r="N647" s="1063"/>
      <c r="O647" s="1063"/>
      <c r="P647" s="1063"/>
      <c r="Q647" s="1063"/>
      <c r="R647" s="1063"/>
      <c r="T647" s="4"/>
      <c r="U647" t="s">
        <v>430</v>
      </c>
      <c r="Z647" s="1062" t="s">
        <v>2383</v>
      </c>
      <c r="AA647" s="1062"/>
      <c r="AB647" s="1062"/>
      <c r="AC647" s="1062"/>
      <c r="AD647" s="1062"/>
      <c r="AE647" s="1062"/>
      <c r="AF647" s="1062"/>
      <c r="AG647" s="1062"/>
      <c r="AH647" s="1062"/>
      <c r="AI647" s="1062"/>
      <c r="AJ647" s="1062"/>
      <c r="AK647" s="1062"/>
      <c r="AM647" s="43"/>
      <c r="AN647" s="43"/>
      <c r="AO647" s="43"/>
      <c r="AP647" s="43"/>
      <c r="AQ647" s="43"/>
      <c r="AR647" s="43"/>
      <c r="AS647" s="43"/>
      <c r="AT647" s="43"/>
      <c r="AU647" s="43"/>
      <c r="AV647" s="43"/>
      <c r="AW647" s="43"/>
      <c r="AX647" s="43"/>
      <c r="AY647" s="43"/>
      <c r="AZ647" s="43"/>
      <c r="BN647" s="1308">
        <f t="shared" si="28"/>
        <v>0</v>
      </c>
      <c r="BO647" s="1309"/>
      <c r="BP647" s="1309"/>
      <c r="BQ647" s="1309"/>
      <c r="BR647" s="1310"/>
      <c r="BS647" s="1308">
        <f t="shared" si="29"/>
        <v>0</v>
      </c>
      <c r="BT647" s="1309"/>
      <c r="BU647" s="1309"/>
      <c r="BV647" s="1309"/>
      <c r="BW647" s="1310"/>
      <c r="BX647" s="1308">
        <f t="shared" si="30"/>
        <v>0</v>
      </c>
      <c r="BY647" s="1309"/>
      <c r="BZ647" s="1309"/>
      <c r="CA647" s="1309"/>
      <c r="CB647" s="1310"/>
      <c r="CC647" s="1308">
        <f t="shared" si="31"/>
        <v>0</v>
      </c>
      <c r="CD647" s="1309"/>
      <c r="CE647" s="1309"/>
      <c r="CF647" s="1309"/>
      <c r="CG647" s="1310"/>
      <c r="CH647" s="1308">
        <f t="shared" si="32"/>
        <v>0</v>
      </c>
      <c r="CI647" s="1309"/>
      <c r="CJ647" s="1309"/>
      <c r="CK647" s="1309"/>
      <c r="CL647" s="1310"/>
      <c r="CM647" s="1308">
        <f t="shared" si="33"/>
        <v>0</v>
      </c>
      <c r="CN647" s="1309"/>
      <c r="CO647" s="1309"/>
      <c r="CP647" s="1309"/>
      <c r="CQ647" s="1310"/>
      <c r="CR647" s="41"/>
      <c r="CS647" s="41"/>
    </row>
    <row r="648" spans="1:99" ht="12.95" customHeight="1">
      <c r="A648" s="4"/>
      <c r="B648" t="s">
        <v>833</v>
      </c>
      <c r="C648"/>
      <c r="G648" s="1063" t="s">
        <v>2452</v>
      </c>
      <c r="H648" s="1063"/>
      <c r="I648" s="1063"/>
      <c r="J648" s="1063"/>
      <c r="K648" s="1063"/>
      <c r="L648" s="1063"/>
      <c r="M648" s="1063"/>
      <c r="N648" s="1063"/>
      <c r="O648" s="1063"/>
      <c r="P648" s="1063"/>
      <c r="Q648" s="1063"/>
      <c r="R648" s="1063"/>
      <c r="S648" s="12"/>
      <c r="T648" s="4"/>
      <c r="U648" t="s">
        <v>833</v>
      </c>
      <c r="Z648" s="1062" t="s">
        <v>2350</v>
      </c>
      <c r="AA648" s="1062"/>
      <c r="AB648" s="1062"/>
      <c r="AC648" s="1062"/>
      <c r="AD648" s="1062"/>
      <c r="AE648" s="1062"/>
      <c r="AF648" s="1062"/>
      <c r="AG648" s="1062"/>
      <c r="AH648" s="1062"/>
      <c r="AI648" s="1062"/>
      <c r="AJ648" s="1062"/>
      <c r="AK648" s="1062"/>
      <c r="AM648" s="43"/>
      <c r="AN648" s="43"/>
      <c r="AO648" s="43"/>
      <c r="AP648" s="43"/>
      <c r="AQ648" s="43"/>
      <c r="AR648" s="43"/>
      <c r="AS648" s="43"/>
      <c r="AT648" s="43"/>
      <c r="AU648" s="43"/>
      <c r="AV648" s="43"/>
      <c r="AW648" s="43"/>
      <c r="AX648" s="43"/>
      <c r="AY648" s="43"/>
      <c r="AZ648" s="43"/>
      <c r="BN648" s="1308">
        <f t="shared" si="28"/>
        <v>0</v>
      </c>
      <c r="BO648" s="1309"/>
      <c r="BP648" s="1309"/>
      <c r="BQ648" s="1309"/>
      <c r="BR648" s="1310"/>
      <c r="BS648" s="1308">
        <f t="shared" si="29"/>
        <v>0</v>
      </c>
      <c r="BT648" s="1309"/>
      <c r="BU648" s="1309"/>
      <c r="BV648" s="1309"/>
      <c r="BW648" s="1310"/>
      <c r="BX648" s="1308">
        <f t="shared" si="30"/>
        <v>0</v>
      </c>
      <c r="BY648" s="1309"/>
      <c r="BZ648" s="1309"/>
      <c r="CA648" s="1309"/>
      <c r="CB648" s="1310"/>
      <c r="CC648" s="1308">
        <f t="shared" si="31"/>
        <v>0</v>
      </c>
      <c r="CD648" s="1309"/>
      <c r="CE648" s="1309"/>
      <c r="CF648" s="1309"/>
      <c r="CG648" s="1310"/>
      <c r="CH648" s="1308">
        <f t="shared" si="32"/>
        <v>0</v>
      </c>
      <c r="CI648" s="1309"/>
      <c r="CJ648" s="1309"/>
      <c r="CK648" s="1309"/>
      <c r="CL648" s="1310"/>
      <c r="CM648" s="1308">
        <f t="shared" si="33"/>
        <v>0</v>
      </c>
      <c r="CN648" s="1309"/>
      <c r="CO648" s="1309"/>
      <c r="CP648" s="1309"/>
      <c r="CQ648" s="1310"/>
      <c r="CR648" s="41"/>
      <c r="CS648" s="41"/>
    </row>
    <row r="649" spans="1:99" ht="12.95" customHeight="1">
      <c r="A649" s="4"/>
      <c r="B649" t="s">
        <v>650</v>
      </c>
      <c r="C649"/>
      <c r="G649" s="1064" t="s">
        <v>2453</v>
      </c>
      <c r="H649" s="1064"/>
      <c r="I649" s="1064"/>
      <c r="J649" s="1064"/>
      <c r="K649" s="1064"/>
      <c r="L649" s="1064"/>
      <c r="O649" s="42" t="s">
        <v>818</v>
      </c>
      <c r="P649" s="1066"/>
      <c r="Q649" s="1066"/>
      <c r="R649" s="1066"/>
      <c r="S649" s="14"/>
      <c r="T649" s="4"/>
      <c r="U649" t="s">
        <v>650</v>
      </c>
      <c r="Z649" s="1064">
        <v>7078229000</v>
      </c>
      <c r="AA649" s="1064"/>
      <c r="AB649" s="1064"/>
      <c r="AC649" s="1064"/>
      <c r="AD649" s="1064"/>
      <c r="AE649" s="1064"/>
      <c r="AH649" s="42" t="s">
        <v>818</v>
      </c>
      <c r="AI649" s="1066"/>
      <c r="AJ649" s="1066"/>
      <c r="AK649" s="1066"/>
      <c r="AM649" s="43"/>
      <c r="AN649" s="43"/>
      <c r="AO649" s="43"/>
      <c r="AP649" s="43"/>
      <c r="AQ649" s="43"/>
      <c r="AR649" s="43"/>
      <c r="AS649" s="43"/>
      <c r="AT649" s="43"/>
      <c r="AU649" s="43"/>
      <c r="AV649" s="43"/>
      <c r="AW649" s="43"/>
      <c r="AX649" s="43"/>
      <c r="AY649" s="43"/>
      <c r="AZ649" s="43"/>
      <c r="BN649" s="1308">
        <f t="shared" si="28"/>
        <v>0</v>
      </c>
      <c r="BO649" s="1309"/>
      <c r="BP649" s="1309"/>
      <c r="BQ649" s="1309"/>
      <c r="BR649" s="1310"/>
      <c r="BS649" s="1308">
        <f t="shared" si="29"/>
        <v>0</v>
      </c>
      <c r="BT649" s="1309"/>
      <c r="BU649" s="1309"/>
      <c r="BV649" s="1309"/>
      <c r="BW649" s="1310"/>
      <c r="BX649" s="1308">
        <f t="shared" si="30"/>
        <v>0</v>
      </c>
      <c r="BY649" s="1309"/>
      <c r="BZ649" s="1309"/>
      <c r="CA649" s="1309"/>
      <c r="CB649" s="1310"/>
      <c r="CC649" s="1308">
        <f t="shared" si="31"/>
        <v>0</v>
      </c>
      <c r="CD649" s="1309"/>
      <c r="CE649" s="1309"/>
      <c r="CF649" s="1309"/>
      <c r="CG649" s="1310"/>
      <c r="CH649" s="1308">
        <f t="shared" si="32"/>
        <v>0</v>
      </c>
      <c r="CI649" s="1309"/>
      <c r="CJ649" s="1309"/>
      <c r="CK649" s="1309"/>
      <c r="CL649" s="1310"/>
      <c r="CM649" s="1308">
        <f t="shared" si="33"/>
        <v>0</v>
      </c>
      <c r="CN649" s="1309"/>
      <c r="CO649" s="1309"/>
      <c r="CP649" s="1309"/>
      <c r="CQ649" s="1310"/>
      <c r="CR649" s="41"/>
      <c r="CS649" s="41"/>
    </row>
    <row r="650" spans="1:99" ht="12.95" customHeight="1">
      <c r="A650" s="4"/>
      <c r="B650" t="s">
        <v>834</v>
      </c>
      <c r="C650"/>
      <c r="H650" s="1063" t="s">
        <v>2454</v>
      </c>
      <c r="I650" s="1063"/>
      <c r="J650" s="1063"/>
      <c r="K650" s="1063"/>
      <c r="L650" s="1063"/>
      <c r="M650" s="1063"/>
      <c r="N650" s="1063"/>
      <c r="O650" s="1063"/>
      <c r="P650" s="1063"/>
      <c r="Q650" s="1063"/>
      <c r="R650" s="1063"/>
      <c r="S650" s="12"/>
      <c r="T650" s="4"/>
      <c r="U650" t="s">
        <v>834</v>
      </c>
      <c r="AA650" s="1063" t="s">
        <v>2458</v>
      </c>
      <c r="AB650" s="1063"/>
      <c r="AC650" s="1063"/>
      <c r="AD650" s="1063"/>
      <c r="AE650" s="1063"/>
      <c r="AF650" s="1063"/>
      <c r="AG650" s="1063"/>
      <c r="AH650" s="1063"/>
      <c r="AI650" s="1063"/>
      <c r="AJ650" s="1063"/>
      <c r="AK650" s="1063"/>
      <c r="AM650" s="43"/>
      <c r="AN650" s="43"/>
      <c r="AO650" s="43"/>
      <c r="AP650" s="43"/>
      <c r="AQ650" s="43"/>
      <c r="AR650" s="43"/>
      <c r="AS650" s="43"/>
      <c r="AT650" s="43"/>
      <c r="AU650" s="43"/>
      <c r="AV650" s="43"/>
      <c r="AW650" s="43"/>
      <c r="AX650" s="43"/>
      <c r="AY650" s="43"/>
      <c r="AZ650" s="43"/>
      <c r="BN650" s="1308">
        <f t="shared" si="28"/>
        <v>0</v>
      </c>
      <c r="BO650" s="1309"/>
      <c r="BP650" s="1309"/>
      <c r="BQ650" s="1309"/>
      <c r="BR650" s="1310"/>
      <c r="BS650" s="1308">
        <f t="shared" si="29"/>
        <v>0</v>
      </c>
      <c r="BT650" s="1309"/>
      <c r="BU650" s="1309"/>
      <c r="BV650" s="1309"/>
      <c r="BW650" s="1310"/>
      <c r="BX650" s="1308">
        <f t="shared" si="30"/>
        <v>0</v>
      </c>
      <c r="BY650" s="1309"/>
      <c r="BZ650" s="1309"/>
      <c r="CA650" s="1309"/>
      <c r="CB650" s="1310"/>
      <c r="CC650" s="1308">
        <f t="shared" si="31"/>
        <v>0</v>
      </c>
      <c r="CD650" s="1309"/>
      <c r="CE650" s="1309"/>
      <c r="CF650" s="1309"/>
      <c r="CG650" s="1310"/>
      <c r="CH650" s="1308">
        <f t="shared" si="32"/>
        <v>0</v>
      </c>
      <c r="CI650" s="1309"/>
      <c r="CJ650" s="1309"/>
      <c r="CK650" s="1309"/>
      <c r="CL650" s="1310"/>
      <c r="CM650" s="1308">
        <f t="shared" si="33"/>
        <v>0</v>
      </c>
      <c r="CN650" s="1309"/>
      <c r="CO650" s="1309"/>
      <c r="CP650" s="1309"/>
      <c r="CQ650" s="1310"/>
      <c r="CR650" s="41"/>
      <c r="CS650" s="41"/>
    </row>
    <row r="651" spans="1:99" ht="12.95" customHeight="1">
      <c r="A651" s="5"/>
      <c r="B651" t="s">
        <v>836</v>
      </c>
      <c r="C651"/>
      <c r="N651" s="1149" t="s">
        <v>108</v>
      </c>
      <c r="O651" s="1149"/>
      <c r="T651" s="4"/>
      <c r="U651" t="s">
        <v>836</v>
      </c>
      <c r="AG651" s="1149" t="s">
        <v>108</v>
      </c>
      <c r="AH651" s="1149"/>
      <c r="AM651" s="43"/>
      <c r="AN651" s="43"/>
      <c r="AO651" s="43"/>
      <c r="AP651" s="43"/>
      <c r="AQ651" s="43"/>
      <c r="AR651" s="43"/>
      <c r="AS651" s="43"/>
      <c r="AT651" s="43"/>
      <c r="AU651" s="43"/>
      <c r="AV651" s="43"/>
      <c r="AW651" s="43"/>
      <c r="AX651" s="43"/>
      <c r="AY651" s="43"/>
      <c r="AZ651" s="43"/>
      <c r="BA651" s="43"/>
      <c r="BB651" s="41"/>
      <c r="BC651" s="41"/>
      <c r="BD651" s="41"/>
      <c r="BN651" s="1308">
        <f t="shared" si="28"/>
        <v>0</v>
      </c>
      <c r="BO651" s="1309"/>
      <c r="BP651" s="1309"/>
      <c r="BQ651" s="1309"/>
      <c r="BR651" s="1310"/>
      <c r="BS651" s="1308">
        <f t="shared" si="29"/>
        <v>0</v>
      </c>
      <c r="BT651" s="1309"/>
      <c r="BU651" s="1309"/>
      <c r="BV651" s="1309"/>
      <c r="BW651" s="1310"/>
      <c r="BX651" s="1308">
        <f t="shared" si="30"/>
        <v>0</v>
      </c>
      <c r="BY651" s="1309"/>
      <c r="BZ651" s="1309"/>
      <c r="CA651" s="1309"/>
      <c r="CB651" s="1310"/>
      <c r="CC651" s="1308">
        <f t="shared" si="31"/>
        <v>0</v>
      </c>
      <c r="CD651" s="1309"/>
      <c r="CE651" s="1309"/>
      <c r="CF651" s="1309"/>
      <c r="CG651" s="1310"/>
      <c r="CH651" s="1308">
        <f t="shared" si="32"/>
        <v>0</v>
      </c>
      <c r="CI651" s="1309"/>
      <c r="CJ651" s="1309"/>
      <c r="CK651" s="1309"/>
      <c r="CL651" s="1310"/>
      <c r="CM651" s="1308">
        <f t="shared" si="33"/>
        <v>0</v>
      </c>
      <c r="CN651" s="1309"/>
      <c r="CO651" s="1309"/>
      <c r="CP651" s="1309"/>
      <c r="CQ651" s="1310"/>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308">
        <f t="shared" si="28"/>
        <v>0</v>
      </c>
      <c r="BO652" s="1309"/>
      <c r="BP652" s="1309"/>
      <c r="BQ652" s="1309"/>
      <c r="BR652" s="1310"/>
      <c r="BS652" s="1308">
        <f t="shared" si="29"/>
        <v>0</v>
      </c>
      <c r="BT652" s="1309"/>
      <c r="BU652" s="1309"/>
      <c r="BV652" s="1309"/>
      <c r="BW652" s="1310"/>
      <c r="BX652" s="1308">
        <f t="shared" si="30"/>
        <v>0</v>
      </c>
      <c r="BY652" s="1309"/>
      <c r="BZ652" s="1309"/>
      <c r="CA652" s="1309"/>
      <c r="CB652" s="1310"/>
      <c r="CC652" s="1308">
        <f t="shared" si="31"/>
        <v>0</v>
      </c>
      <c r="CD652" s="1309"/>
      <c r="CE652" s="1309"/>
      <c r="CF652" s="1309"/>
      <c r="CG652" s="1310"/>
      <c r="CH652" s="1308">
        <f t="shared" si="32"/>
        <v>0</v>
      </c>
      <c r="CI652" s="1309"/>
      <c r="CJ652" s="1309"/>
      <c r="CK652" s="1309"/>
      <c r="CL652" s="1310"/>
      <c r="CM652" s="1308">
        <f t="shared" si="33"/>
        <v>0</v>
      </c>
      <c r="CN652" s="1309"/>
      <c r="CO652" s="1309"/>
      <c r="CP652" s="1309"/>
      <c r="CQ652" s="1310"/>
      <c r="CR652" s="41"/>
      <c r="CS652" s="41"/>
    </row>
    <row r="653" spans="1:99" ht="12.95" customHeight="1">
      <c r="A653" s="61" t="s">
        <v>907</v>
      </c>
      <c r="B653" t="s">
        <v>82</v>
      </c>
      <c r="C653"/>
      <c r="G653" s="1306" t="str">
        <f>C631</f>
        <v xml:space="preserve">Solar Tax Credits </v>
      </c>
      <c r="H653" s="1306"/>
      <c r="I653" s="1306"/>
      <c r="J653" s="1306"/>
      <c r="K653" s="1306"/>
      <c r="L653" s="1306"/>
      <c r="M653" s="1306"/>
      <c r="N653" s="1306"/>
      <c r="O653" s="1306"/>
      <c r="P653" s="1306"/>
      <c r="Q653" s="1306"/>
      <c r="R653" s="1306"/>
      <c r="T653" s="61" t="s">
        <v>431</v>
      </c>
      <c r="U653" t="s">
        <v>82</v>
      </c>
      <c r="Z653" s="1306" t="str">
        <f>C632</f>
        <v xml:space="preserve">City of Santa Rosa </v>
      </c>
      <c r="AA653" s="1306"/>
      <c r="AB653" s="1306"/>
      <c r="AC653" s="1306"/>
      <c r="AD653" s="1306"/>
      <c r="AE653" s="1306"/>
      <c r="AF653" s="1306"/>
      <c r="AG653" s="1306"/>
      <c r="AH653" s="1306"/>
      <c r="AI653" s="1306"/>
      <c r="AJ653" s="1306"/>
      <c r="AK653" s="1306"/>
      <c r="AM653" s="43"/>
      <c r="AN653" s="43"/>
      <c r="AO653" s="43"/>
      <c r="AP653" s="43"/>
      <c r="AQ653" s="43"/>
      <c r="AR653" s="43"/>
      <c r="AS653" s="43"/>
      <c r="AT653" s="43"/>
      <c r="AU653" s="43"/>
      <c r="AV653" s="43"/>
      <c r="AW653" s="43"/>
      <c r="AX653" s="43"/>
      <c r="AY653" s="43"/>
      <c r="AZ653" s="43"/>
      <c r="BA653" s="43"/>
      <c r="BB653" s="41"/>
      <c r="BC653" s="41"/>
      <c r="BD653" s="41"/>
      <c r="BN653" s="1311">
        <f>SUM(BN643:BR652)</f>
        <v>0</v>
      </c>
      <c r="BO653" s="1312"/>
      <c r="BP653" s="1312"/>
      <c r="BQ653" s="1312"/>
      <c r="BR653" s="1313"/>
      <c r="BS653" s="1311">
        <f>SUM(BS643:BW652)</f>
        <v>0</v>
      </c>
      <c r="BT653" s="1312"/>
      <c r="BU653" s="1312"/>
      <c r="BV653" s="1312"/>
      <c r="BW653" s="1313"/>
      <c r="BX653" s="1311">
        <f>SUM(BX643:CB652)</f>
        <v>0</v>
      </c>
      <c r="BY653" s="1312"/>
      <c r="BZ653" s="1312"/>
      <c r="CA653" s="1312"/>
      <c r="CB653" s="1313"/>
      <c r="CC653" s="1311">
        <f>SUM(CC643:CG652)</f>
        <v>0</v>
      </c>
      <c r="CD653" s="1312"/>
      <c r="CE653" s="1312"/>
      <c r="CF653" s="1312"/>
      <c r="CG653" s="1313"/>
      <c r="CH653" s="1311">
        <f>SUM(CH643:CL652)</f>
        <v>0</v>
      </c>
      <c r="CI653" s="1312"/>
      <c r="CJ653" s="1312"/>
      <c r="CK653" s="1312"/>
      <c r="CL653" s="1313"/>
      <c r="CM653" s="1311">
        <f>SUM(CM643:CQ652)</f>
        <v>0</v>
      </c>
      <c r="CN653" s="1312"/>
      <c r="CO653" s="1312"/>
      <c r="CP653" s="1312"/>
      <c r="CQ653" s="1313"/>
      <c r="CR653" s="41"/>
      <c r="CS653" s="41"/>
    </row>
    <row r="654" spans="1:99" ht="12.95" customHeight="1" thickBot="1">
      <c r="A654" s="4"/>
      <c r="B654" t="s">
        <v>372</v>
      </c>
      <c r="C654"/>
      <c r="G654" s="1063" t="s">
        <v>2455</v>
      </c>
      <c r="H654" s="1063"/>
      <c r="I654" s="1063"/>
      <c r="J654" s="1063"/>
      <c r="K654" s="1063"/>
      <c r="L654" s="1063"/>
      <c r="M654" s="1063"/>
      <c r="N654" s="1063"/>
      <c r="O654" s="1063"/>
      <c r="P654" s="1063"/>
      <c r="Q654" s="1063"/>
      <c r="R654" s="1063"/>
      <c r="T654" s="4"/>
      <c r="U654" t="s">
        <v>372</v>
      </c>
      <c r="Z654" s="1063" t="s">
        <v>2462</v>
      </c>
      <c r="AA654" s="1063"/>
      <c r="AB654" s="1063"/>
      <c r="AC654" s="1063"/>
      <c r="AD654" s="1063"/>
      <c r="AE654" s="1063"/>
      <c r="AF654" s="1063"/>
      <c r="AG654" s="1063"/>
      <c r="AH654" s="1063"/>
      <c r="AI654" s="1063"/>
      <c r="AJ654" s="1063"/>
      <c r="AK654" s="1063"/>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62" t="s">
        <v>2393</v>
      </c>
      <c r="H655" s="1062"/>
      <c r="I655" s="1062"/>
      <c r="J655" s="1062"/>
      <c r="K655" s="1062"/>
      <c r="L655" s="1062"/>
      <c r="M655" s="1062"/>
      <c r="N655" s="1062"/>
      <c r="O655" s="1062"/>
      <c r="P655" s="1062"/>
      <c r="Q655" s="1062"/>
      <c r="R655" s="1062"/>
      <c r="T655" s="4"/>
      <c r="U655" t="s">
        <v>430</v>
      </c>
      <c r="Z655" s="1062" t="s">
        <v>2463</v>
      </c>
      <c r="AA655" s="1062"/>
      <c r="AB655" s="1062"/>
      <c r="AC655" s="1062"/>
      <c r="AD655" s="1062"/>
      <c r="AE655" s="1062"/>
      <c r="AF655" s="1062"/>
      <c r="AG655" s="1062"/>
      <c r="AH655" s="1062"/>
      <c r="AI655" s="1062"/>
      <c r="AJ655" s="1062"/>
      <c r="AK655" s="1062"/>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062" t="s">
        <v>2394</v>
      </c>
      <c r="H656" s="1062"/>
      <c r="I656" s="1062"/>
      <c r="J656" s="1062"/>
      <c r="K656" s="1062"/>
      <c r="L656" s="1062"/>
      <c r="M656" s="1062"/>
      <c r="N656" s="1062"/>
      <c r="O656" s="1062"/>
      <c r="P656" s="1062"/>
      <c r="Q656" s="1062"/>
      <c r="R656" s="1062"/>
      <c r="T656" s="4"/>
      <c r="U656" t="s">
        <v>833</v>
      </c>
      <c r="Z656" s="1062" t="s">
        <v>2464</v>
      </c>
      <c r="AA656" s="1062"/>
      <c r="AB656" s="1062"/>
      <c r="AC656" s="1062"/>
      <c r="AD656" s="1062"/>
      <c r="AE656" s="1062"/>
      <c r="AF656" s="1062"/>
      <c r="AG656" s="1062"/>
      <c r="AH656" s="1062"/>
      <c r="AI656" s="1062"/>
      <c r="AJ656" s="1062"/>
      <c r="AK656" s="1062"/>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064" t="s">
        <v>2395</v>
      </c>
      <c r="H657" s="1064"/>
      <c r="I657" s="1064"/>
      <c r="J657" s="1064"/>
      <c r="K657" s="1064"/>
      <c r="L657" s="1064"/>
      <c r="O657" s="42" t="s">
        <v>818</v>
      </c>
      <c r="P657" s="1066"/>
      <c r="Q657" s="1066"/>
      <c r="R657" s="1066"/>
      <c r="T657" s="4"/>
      <c r="U657" t="s">
        <v>650</v>
      </c>
      <c r="Z657" s="1064">
        <v>7075433305</v>
      </c>
      <c r="AA657" s="1064"/>
      <c r="AB657" s="1064"/>
      <c r="AC657" s="1064"/>
      <c r="AD657" s="1064"/>
      <c r="AE657" s="1064"/>
      <c r="AH657" s="42" t="s">
        <v>818</v>
      </c>
      <c r="AI657" s="1066"/>
      <c r="AJ657" s="1066"/>
      <c r="AK657" s="1066"/>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98</v>
      </c>
      <c r="CR657" s="41"/>
      <c r="CS657" s="41"/>
    </row>
    <row r="658" spans="1:97" ht="12.95" customHeight="1">
      <c r="A658" s="4"/>
      <c r="B658" t="s">
        <v>834</v>
      </c>
      <c r="C658"/>
      <c r="H658" s="1063" t="s">
        <v>2461</v>
      </c>
      <c r="I658" s="1063"/>
      <c r="J658" s="1063"/>
      <c r="K658" s="1063"/>
      <c r="L658" s="1063"/>
      <c r="M658" s="1063"/>
      <c r="N658" s="1063"/>
      <c r="O658" s="1063"/>
      <c r="P658" s="1063"/>
      <c r="Q658" s="1063"/>
      <c r="R658" s="1063"/>
      <c r="T658" s="4"/>
      <c r="U658" t="s">
        <v>834</v>
      </c>
      <c r="AA658" s="1063" t="s">
        <v>2465</v>
      </c>
      <c r="AB658" s="1063"/>
      <c r="AC658" s="1063"/>
      <c r="AD658" s="1063"/>
      <c r="AE658" s="1063"/>
      <c r="AF658" s="1063"/>
      <c r="AG658" s="1063"/>
      <c r="AH658" s="1063"/>
      <c r="AI658" s="1063"/>
      <c r="AJ658" s="1063"/>
      <c r="AK658" s="1063"/>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49" t="s">
        <v>108</v>
      </c>
      <c r="O659" s="1149"/>
      <c r="T659" s="4"/>
      <c r="U659" t="s">
        <v>836</v>
      </c>
      <c r="AG659" s="1149" t="s">
        <v>108</v>
      </c>
      <c r="AH659" s="1149"/>
      <c r="AM659" s="41"/>
      <c r="AN659" s="41"/>
      <c r="AO659" s="41"/>
      <c r="AP659" s="41"/>
      <c r="AQ659" s="41"/>
      <c r="AR659" s="41"/>
      <c r="AS659" s="41"/>
      <c r="AT659" s="41"/>
      <c r="AU659" s="41"/>
      <c r="AV659" s="41"/>
      <c r="AW659" s="41"/>
      <c r="AX659" s="41"/>
      <c r="AY659" s="41"/>
      <c r="AZ659" s="41"/>
      <c r="BA659" s="41"/>
      <c r="BB659" s="41"/>
      <c r="BC659" s="41"/>
      <c r="BD659" s="41"/>
      <c r="BN659" s="1311">
        <f>BN634+BN641+BN653</f>
        <v>0</v>
      </c>
      <c r="BO659" s="1312"/>
      <c r="BP659" s="1312"/>
      <c r="BQ659" s="1312"/>
      <c r="BR659" s="1313"/>
      <c r="BS659" s="1311">
        <f>BS634+BS641+BS653</f>
        <v>13</v>
      </c>
      <c r="BT659" s="1312"/>
      <c r="BU659" s="1312"/>
      <c r="BV659" s="1312"/>
      <c r="BW659" s="1313"/>
      <c r="BX659" s="1311">
        <f>BX634+BX641+BX653</f>
        <v>24</v>
      </c>
      <c r="BY659" s="1312"/>
      <c r="BZ659" s="1312"/>
      <c r="CA659" s="1312"/>
      <c r="CB659" s="1313"/>
      <c r="CC659" s="1311">
        <f>CC634+CC641+CC653</f>
        <v>13</v>
      </c>
      <c r="CD659" s="1312"/>
      <c r="CE659" s="1312"/>
      <c r="CF659" s="1312"/>
      <c r="CG659" s="1313"/>
      <c r="CH659" s="1311">
        <f>CH634+CH641+CH653</f>
        <v>0</v>
      </c>
      <c r="CI659" s="1312"/>
      <c r="CJ659" s="1312"/>
      <c r="CK659" s="1312"/>
      <c r="CL659" s="1313"/>
      <c r="CM659" s="1314">
        <f>CM653+CM641+CM634</f>
        <v>0</v>
      </c>
      <c r="CN659" s="1315"/>
      <c r="CO659" s="1315"/>
      <c r="CP659" s="1315"/>
      <c r="CQ659" s="1316"/>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306" t="str">
        <f>C633</f>
        <v>IIG</v>
      </c>
      <c r="H661" s="1306"/>
      <c r="I661" s="1306"/>
      <c r="J661" s="1306"/>
      <c r="K661" s="1306"/>
      <c r="L661" s="1306"/>
      <c r="M661" s="1306"/>
      <c r="N661" s="1306"/>
      <c r="O661" s="1306"/>
      <c r="P661" s="1306"/>
      <c r="Q661" s="1306"/>
      <c r="R661" s="1306"/>
      <c r="T661" s="61" t="s">
        <v>434</v>
      </c>
      <c r="U661" t="s">
        <v>82</v>
      </c>
      <c r="Z661" s="1306">
        <f>C634</f>
        <v>0</v>
      </c>
      <c r="AA661" s="1306"/>
      <c r="AB661" s="1306"/>
      <c r="AC661" s="1306"/>
      <c r="AD661" s="1306"/>
      <c r="AE661" s="1306"/>
      <c r="AF661" s="1306"/>
      <c r="AG661" s="1306"/>
      <c r="AH661" s="1306"/>
      <c r="AI661" s="1306"/>
      <c r="AJ661" s="1306"/>
      <c r="AK661" s="130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63" t="s">
        <v>2466</v>
      </c>
      <c r="H662" s="1063"/>
      <c r="I662" s="1063"/>
      <c r="J662" s="1063"/>
      <c r="K662" s="1063"/>
      <c r="L662" s="1063"/>
      <c r="M662" s="1063"/>
      <c r="N662" s="1063"/>
      <c r="O662" s="1063"/>
      <c r="P662" s="1063"/>
      <c r="Q662" s="1063"/>
      <c r="R662" s="1063"/>
      <c r="T662" s="4"/>
      <c r="U662" t="s">
        <v>372</v>
      </c>
      <c r="Z662" s="1158"/>
      <c r="AA662" s="1158"/>
      <c r="AB662" s="1158"/>
      <c r="AC662" s="1158"/>
      <c r="AD662" s="1158"/>
      <c r="AE662" s="1158"/>
      <c r="AF662" s="1158"/>
      <c r="AG662" s="1158"/>
      <c r="AH662" s="1158"/>
      <c r="AI662" s="1158"/>
      <c r="AJ662" s="1158"/>
      <c r="AK662" s="115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62" t="s">
        <v>2467</v>
      </c>
      <c r="H663" s="1062"/>
      <c r="I663" s="1062"/>
      <c r="J663" s="1062"/>
      <c r="K663" s="1062"/>
      <c r="L663" s="1062"/>
      <c r="M663" s="1062"/>
      <c r="N663" s="1062"/>
      <c r="O663" s="1062"/>
      <c r="P663" s="1062"/>
      <c r="Q663" s="1062"/>
      <c r="R663" s="1062"/>
      <c r="T663" s="4"/>
      <c r="U663" t="s">
        <v>430</v>
      </c>
      <c r="Z663" s="1065"/>
      <c r="AA663" s="1065"/>
      <c r="AB663" s="1065"/>
      <c r="AC663" s="1065"/>
      <c r="AD663" s="1065"/>
      <c r="AE663" s="1065"/>
      <c r="AF663" s="1065"/>
      <c r="AG663" s="1065"/>
      <c r="AH663" s="1065"/>
      <c r="AI663" s="1065"/>
      <c r="AJ663" s="1065"/>
      <c r="AK663" s="10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62" t="s">
        <v>2468</v>
      </c>
      <c r="H664" s="1062"/>
      <c r="I664" s="1062"/>
      <c r="J664" s="1062"/>
      <c r="K664" s="1062"/>
      <c r="L664" s="1062"/>
      <c r="M664" s="1062"/>
      <c r="N664" s="1062"/>
      <c r="O664" s="1062"/>
      <c r="P664" s="1062"/>
      <c r="Q664" s="1062"/>
      <c r="R664" s="1062"/>
      <c r="T664" s="4"/>
      <c r="U664" t="s">
        <v>833</v>
      </c>
      <c r="Z664" s="1065"/>
      <c r="AA664" s="1065"/>
      <c r="AB664" s="1065"/>
      <c r="AC664" s="1065"/>
      <c r="AD664" s="1065"/>
      <c r="AE664" s="1065"/>
      <c r="AF664" s="1065"/>
      <c r="AG664" s="1065"/>
      <c r="AH664" s="1065"/>
      <c r="AI664" s="1065"/>
      <c r="AJ664" s="1065"/>
      <c r="AK664" s="10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307"/>
      <c r="H665" s="1307"/>
      <c r="I665" s="1307"/>
      <c r="J665" s="1307"/>
      <c r="K665" s="1307"/>
      <c r="L665" s="1307"/>
      <c r="O665" s="42" t="s">
        <v>818</v>
      </c>
      <c r="P665" s="1066"/>
      <c r="Q665" s="1066"/>
      <c r="R665" s="1066"/>
      <c r="T665" s="4"/>
      <c r="U665" t="s">
        <v>650</v>
      </c>
      <c r="Z665" s="1307"/>
      <c r="AA665" s="1307"/>
      <c r="AB665" s="1307"/>
      <c r="AC665" s="1307"/>
      <c r="AD665" s="1307"/>
      <c r="AE665" s="1307"/>
      <c r="AH665" s="42" t="s">
        <v>818</v>
      </c>
      <c r="AI665" s="1066"/>
      <c r="AJ665" s="1066"/>
      <c r="AK665" s="106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63" t="s">
        <v>2469</v>
      </c>
      <c r="I666" s="1063"/>
      <c r="J666" s="1063"/>
      <c r="K666" s="1063"/>
      <c r="L666" s="1063"/>
      <c r="M666" s="1063"/>
      <c r="N666" s="1063"/>
      <c r="O666" s="1063"/>
      <c r="P666" s="1063"/>
      <c r="Q666" s="1063"/>
      <c r="R666" s="1063"/>
      <c r="T666" s="4"/>
      <c r="U666" t="s">
        <v>834</v>
      </c>
      <c r="AA666" s="1158"/>
      <c r="AB666" s="1158"/>
      <c r="AC666" s="1158"/>
      <c r="AD666" s="1158"/>
      <c r="AE666" s="1158"/>
      <c r="AF666" s="1158"/>
      <c r="AG666" s="1158"/>
      <c r="AH666" s="1158"/>
      <c r="AI666" s="1158"/>
      <c r="AJ666" s="1158"/>
      <c r="AK666" s="115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49" t="s">
        <v>108</v>
      </c>
      <c r="O667" s="1149"/>
      <c r="T667" s="4"/>
      <c r="U667" t="s">
        <v>836</v>
      </c>
      <c r="AG667" s="1149" t="s">
        <v>482</v>
      </c>
      <c r="AH667" s="114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306">
        <f>C635</f>
        <v>0</v>
      </c>
      <c r="H669" s="1306"/>
      <c r="I669" s="1306"/>
      <c r="J669" s="1306"/>
      <c r="K669" s="1306"/>
      <c r="L669" s="1306"/>
      <c r="M669" s="1306"/>
      <c r="N669" s="1306"/>
      <c r="O669" s="1306"/>
      <c r="P669" s="1306"/>
      <c r="Q669" s="1306"/>
      <c r="R669" s="1306"/>
      <c r="T669" s="61" t="s">
        <v>743</v>
      </c>
      <c r="U669" t="s">
        <v>82</v>
      </c>
      <c r="Z669" s="1306">
        <f>C636</f>
        <v>0</v>
      </c>
      <c r="AA669" s="1306"/>
      <c r="AB669" s="1306"/>
      <c r="AC669" s="1306"/>
      <c r="AD669" s="1306"/>
      <c r="AE669" s="1306"/>
      <c r="AF669" s="1306"/>
      <c r="AG669" s="1306"/>
      <c r="AH669" s="1306"/>
      <c r="AI669" s="1306"/>
      <c r="AJ669" s="1306"/>
      <c r="AK669" s="1306"/>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58"/>
      <c r="H670" s="1158"/>
      <c r="I670" s="1158"/>
      <c r="J670" s="1158"/>
      <c r="K670" s="1158"/>
      <c r="L670" s="1158"/>
      <c r="M670" s="1158"/>
      <c r="N670" s="1158"/>
      <c r="O670" s="1158"/>
      <c r="P670" s="1158"/>
      <c r="Q670" s="1158"/>
      <c r="R670" s="1158"/>
      <c r="T670" s="4"/>
      <c r="U670" t="s">
        <v>372</v>
      </c>
      <c r="Z670" s="1158"/>
      <c r="AA670" s="1158"/>
      <c r="AB670" s="1158"/>
      <c r="AC670" s="1158"/>
      <c r="AD670" s="1158"/>
      <c r="AE670" s="1158"/>
      <c r="AF670" s="1158"/>
      <c r="AG670" s="1158"/>
      <c r="AH670" s="1158"/>
      <c r="AI670" s="1158"/>
      <c r="AJ670" s="1158"/>
      <c r="AK670" s="115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58"/>
      <c r="H671" s="1158"/>
      <c r="I671" s="1158"/>
      <c r="J671" s="1158"/>
      <c r="K671" s="1158"/>
      <c r="L671" s="1158"/>
      <c r="M671" s="1158"/>
      <c r="N671" s="1158"/>
      <c r="O671" s="1158"/>
      <c r="P671" s="1158"/>
      <c r="Q671" s="1158"/>
      <c r="R671" s="1158"/>
      <c r="T671" s="4"/>
      <c r="U671" t="s">
        <v>430</v>
      </c>
      <c r="Z671" s="1065"/>
      <c r="AA671" s="1065"/>
      <c r="AB671" s="1065"/>
      <c r="AC671" s="1065"/>
      <c r="AD671" s="1065"/>
      <c r="AE671" s="1065"/>
      <c r="AF671" s="1065"/>
      <c r="AG671" s="1065"/>
      <c r="AH671" s="1065"/>
      <c r="AI671" s="1065"/>
      <c r="AJ671" s="1065"/>
      <c r="AK671" s="10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158"/>
      <c r="H672" s="1158"/>
      <c r="I672" s="1158"/>
      <c r="J672" s="1158"/>
      <c r="K672" s="1158"/>
      <c r="L672" s="1158"/>
      <c r="M672" s="1158"/>
      <c r="N672" s="1158"/>
      <c r="O672" s="1158"/>
      <c r="P672" s="1158"/>
      <c r="Q672" s="1158"/>
      <c r="R672" s="1158"/>
      <c r="T672" s="4"/>
      <c r="U672" t="s">
        <v>833</v>
      </c>
      <c r="Z672" s="1065"/>
      <c r="AA672" s="1065"/>
      <c r="AB672" s="1065"/>
      <c r="AC672" s="1065"/>
      <c r="AD672" s="1065"/>
      <c r="AE672" s="1065"/>
      <c r="AF672" s="1065"/>
      <c r="AG672" s="1065"/>
      <c r="AH672" s="1065"/>
      <c r="AI672" s="1065"/>
      <c r="AJ672" s="1065"/>
      <c r="AK672" s="10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307"/>
      <c r="H673" s="1307"/>
      <c r="I673" s="1307"/>
      <c r="J673" s="1307"/>
      <c r="K673" s="1307"/>
      <c r="L673" s="1307"/>
      <c r="O673" s="42" t="s">
        <v>818</v>
      </c>
      <c r="P673" s="1066"/>
      <c r="Q673" s="1066"/>
      <c r="R673" s="1066"/>
      <c r="T673" s="4"/>
      <c r="U673" t="s">
        <v>650</v>
      </c>
      <c r="Z673" s="1307"/>
      <c r="AA673" s="1307"/>
      <c r="AB673" s="1307"/>
      <c r="AC673" s="1307"/>
      <c r="AD673" s="1307"/>
      <c r="AE673" s="1307"/>
      <c r="AH673" s="42" t="s">
        <v>818</v>
      </c>
      <c r="AI673" s="1066"/>
      <c r="AJ673" s="1066"/>
      <c r="AK673" s="106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158"/>
      <c r="I674" s="1158"/>
      <c r="J674" s="1158"/>
      <c r="K674" s="1158"/>
      <c r="L674" s="1158"/>
      <c r="M674" s="1158"/>
      <c r="N674" s="1158"/>
      <c r="O674" s="1158"/>
      <c r="P674" s="1158"/>
      <c r="Q674" s="1158"/>
      <c r="R674" s="1158"/>
      <c r="T674" s="4"/>
      <c r="U674" t="s">
        <v>834</v>
      </c>
      <c r="AA674" s="1158"/>
      <c r="AB674" s="1158"/>
      <c r="AC674" s="1158"/>
      <c r="AD674" s="1158"/>
      <c r="AE674" s="1158"/>
      <c r="AF674" s="1158"/>
      <c r="AG674" s="1158"/>
      <c r="AH674" s="1158"/>
      <c r="AI674" s="1158"/>
      <c r="AJ674" s="1158"/>
      <c r="AK674" s="115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49" t="s">
        <v>482</v>
      </c>
      <c r="O675" s="1149"/>
      <c r="T675" s="4"/>
      <c r="U675" t="s">
        <v>836</v>
      </c>
      <c r="AG675" s="1149" t="s">
        <v>482</v>
      </c>
      <c r="AH675" s="1149"/>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306">
        <f>C637</f>
        <v>0</v>
      </c>
      <c r="H677" s="1306"/>
      <c r="I677" s="1306"/>
      <c r="J677" s="1306"/>
      <c r="K677" s="1306"/>
      <c r="L677" s="1306"/>
      <c r="M677" s="1306"/>
      <c r="N677" s="1306"/>
      <c r="O677" s="1306"/>
      <c r="P677" s="1306"/>
      <c r="Q677" s="1306"/>
      <c r="R677" s="1306"/>
      <c r="T677" s="61" t="s">
        <v>174</v>
      </c>
      <c r="U677" t="s">
        <v>82</v>
      </c>
      <c r="Z677" s="1306">
        <f>C638</f>
        <v>0</v>
      </c>
      <c r="AA677" s="1306"/>
      <c r="AB677" s="1306"/>
      <c r="AC677" s="1306"/>
      <c r="AD677" s="1306"/>
      <c r="AE677" s="1306"/>
      <c r="AF677" s="1306"/>
      <c r="AG677" s="1306"/>
      <c r="AH677" s="1306"/>
      <c r="AI677" s="1306"/>
      <c r="AJ677" s="1306"/>
      <c r="AK677" s="1306"/>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58"/>
      <c r="H678" s="1158"/>
      <c r="I678" s="1158"/>
      <c r="J678" s="1158"/>
      <c r="K678" s="1158"/>
      <c r="L678" s="1158"/>
      <c r="M678" s="1158"/>
      <c r="N678" s="1158"/>
      <c r="O678" s="1158"/>
      <c r="P678" s="1158"/>
      <c r="Q678" s="1158"/>
      <c r="R678" s="1158"/>
      <c r="T678" s="4"/>
      <c r="U678" t="s">
        <v>372</v>
      </c>
      <c r="Z678" s="1158"/>
      <c r="AA678" s="1158"/>
      <c r="AB678" s="1158"/>
      <c r="AC678" s="1158"/>
      <c r="AD678" s="1158"/>
      <c r="AE678" s="1158"/>
      <c r="AF678" s="1158"/>
      <c r="AG678" s="1158"/>
      <c r="AH678" s="1158"/>
      <c r="AI678" s="1158"/>
      <c r="AJ678" s="1158"/>
      <c r="AK678" s="115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58"/>
      <c r="H679" s="1158"/>
      <c r="I679" s="1158"/>
      <c r="J679" s="1158"/>
      <c r="K679" s="1158"/>
      <c r="L679" s="1158"/>
      <c r="M679" s="1158"/>
      <c r="N679" s="1158"/>
      <c r="O679" s="1158"/>
      <c r="P679" s="1158"/>
      <c r="Q679" s="1158"/>
      <c r="R679" s="1158"/>
      <c r="T679" s="4"/>
      <c r="U679" t="s">
        <v>430</v>
      </c>
      <c r="Z679" s="1065"/>
      <c r="AA679" s="1065"/>
      <c r="AB679" s="1065"/>
      <c r="AC679" s="1065"/>
      <c r="AD679" s="1065"/>
      <c r="AE679" s="1065"/>
      <c r="AF679" s="1065"/>
      <c r="AG679" s="1065"/>
      <c r="AH679" s="1065"/>
      <c r="AI679" s="1065"/>
      <c r="AJ679" s="1065"/>
      <c r="AK679" s="10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158"/>
      <c r="H680" s="1158"/>
      <c r="I680" s="1158"/>
      <c r="J680" s="1158"/>
      <c r="K680" s="1158"/>
      <c r="L680" s="1158"/>
      <c r="M680" s="1158"/>
      <c r="N680" s="1158"/>
      <c r="O680" s="1158"/>
      <c r="P680" s="1158"/>
      <c r="Q680" s="1158"/>
      <c r="R680" s="1158"/>
      <c r="T680" s="4"/>
      <c r="U680" t="s">
        <v>833</v>
      </c>
      <c r="Z680" s="1065"/>
      <c r="AA680" s="1065"/>
      <c r="AB680" s="1065"/>
      <c r="AC680" s="1065"/>
      <c r="AD680" s="1065"/>
      <c r="AE680" s="1065"/>
      <c r="AF680" s="1065"/>
      <c r="AG680" s="1065"/>
      <c r="AH680" s="1065"/>
      <c r="AI680" s="1065"/>
      <c r="AJ680" s="1065"/>
      <c r="AK680" s="10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307"/>
      <c r="H681" s="1307"/>
      <c r="I681" s="1307"/>
      <c r="J681" s="1307"/>
      <c r="K681" s="1307"/>
      <c r="L681" s="1307"/>
      <c r="O681" s="42" t="s">
        <v>818</v>
      </c>
      <c r="P681" s="1066"/>
      <c r="Q681" s="1066"/>
      <c r="R681" s="1066"/>
      <c r="T681" s="4"/>
      <c r="U681" t="s">
        <v>650</v>
      </c>
      <c r="Z681" s="1307"/>
      <c r="AA681" s="1307"/>
      <c r="AB681" s="1307"/>
      <c r="AC681" s="1307"/>
      <c r="AD681" s="1307"/>
      <c r="AE681" s="1307"/>
      <c r="AH681" s="42" t="s">
        <v>818</v>
      </c>
      <c r="AI681" s="1066"/>
      <c r="AJ681" s="1066"/>
      <c r="AK681" s="106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158"/>
      <c r="I682" s="1158"/>
      <c r="J682" s="1158"/>
      <c r="K682" s="1158"/>
      <c r="L682" s="1158"/>
      <c r="M682" s="1158"/>
      <c r="N682" s="1158"/>
      <c r="O682" s="1158"/>
      <c r="P682" s="1158"/>
      <c r="Q682" s="1158"/>
      <c r="R682" s="1158"/>
      <c r="T682" s="4"/>
      <c r="U682" t="s">
        <v>834</v>
      </c>
      <c r="AA682" s="1158"/>
      <c r="AB682" s="1158"/>
      <c r="AC682" s="1158"/>
      <c r="AD682" s="1158"/>
      <c r="AE682" s="1158"/>
      <c r="AF682" s="1158"/>
      <c r="AG682" s="1158"/>
      <c r="AH682" s="1158"/>
      <c r="AI682" s="1158"/>
      <c r="AJ682" s="1158"/>
      <c r="AK682" s="115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49" t="s">
        <v>482</v>
      </c>
      <c r="O683" s="1149"/>
      <c r="T683" s="4"/>
      <c r="U683" t="s">
        <v>836</v>
      </c>
      <c r="AG683" s="1149" t="s">
        <v>482</v>
      </c>
      <c r="AH683" s="1149"/>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306">
        <f>C639</f>
        <v>0</v>
      </c>
      <c r="H685" s="1306"/>
      <c r="I685" s="1306"/>
      <c r="J685" s="1306"/>
      <c r="K685" s="1306"/>
      <c r="L685" s="1306"/>
      <c r="M685" s="1306"/>
      <c r="N685" s="1306"/>
      <c r="O685" s="1306"/>
      <c r="P685" s="1306"/>
      <c r="Q685" s="1306"/>
      <c r="R685" s="1306"/>
      <c r="T685" s="61" t="s">
        <v>33</v>
      </c>
      <c r="U685" t="s">
        <v>82</v>
      </c>
      <c r="Z685" s="1306">
        <f>C640</f>
        <v>0</v>
      </c>
      <c r="AA685" s="1306"/>
      <c r="AB685" s="1306"/>
      <c r="AC685" s="1306"/>
      <c r="AD685" s="1306"/>
      <c r="AE685" s="1306"/>
      <c r="AF685" s="1306"/>
      <c r="AG685" s="1306"/>
      <c r="AH685" s="1306"/>
      <c r="AI685" s="1306"/>
      <c r="AJ685" s="1306"/>
      <c r="AK685" s="1306"/>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58"/>
      <c r="H686" s="1158"/>
      <c r="I686" s="1158"/>
      <c r="J686" s="1158"/>
      <c r="K686" s="1158"/>
      <c r="L686" s="1158"/>
      <c r="M686" s="1158"/>
      <c r="N686" s="1158"/>
      <c r="O686" s="1158"/>
      <c r="P686" s="1158"/>
      <c r="Q686" s="1158"/>
      <c r="R686" s="1158"/>
      <c r="T686" s="4"/>
      <c r="U686" t="s">
        <v>372</v>
      </c>
      <c r="Z686" s="1158"/>
      <c r="AA686" s="1158"/>
      <c r="AB686" s="1158"/>
      <c r="AC686" s="1158"/>
      <c r="AD686" s="1158"/>
      <c r="AE686" s="1158"/>
      <c r="AF686" s="1158"/>
      <c r="AG686" s="1158"/>
      <c r="AH686" s="1158"/>
      <c r="AI686" s="1158"/>
      <c r="AJ686" s="1158"/>
      <c r="AK686" s="115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58"/>
      <c r="H687" s="1158"/>
      <c r="I687" s="1158"/>
      <c r="J687" s="1158"/>
      <c r="K687" s="1158"/>
      <c r="L687" s="1158"/>
      <c r="M687" s="1158"/>
      <c r="N687" s="1158"/>
      <c r="O687" s="1158"/>
      <c r="P687" s="1158"/>
      <c r="Q687" s="1158"/>
      <c r="R687" s="1158"/>
      <c r="U687" t="s">
        <v>430</v>
      </c>
      <c r="Z687" s="1065"/>
      <c r="AA687" s="1065"/>
      <c r="AB687" s="1065"/>
      <c r="AC687" s="1065"/>
      <c r="AD687" s="1065"/>
      <c r="AE687" s="1065"/>
      <c r="AF687" s="1065"/>
      <c r="AG687" s="1065"/>
      <c r="AH687" s="1065"/>
      <c r="AI687" s="1065"/>
      <c r="AJ687" s="1065"/>
      <c r="AK687" s="10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158"/>
      <c r="H688" s="1158"/>
      <c r="I688" s="1158"/>
      <c r="J688" s="1158"/>
      <c r="K688" s="1158"/>
      <c r="L688" s="1158"/>
      <c r="M688" s="1158"/>
      <c r="N688" s="1158"/>
      <c r="O688" s="1158"/>
      <c r="P688" s="1158"/>
      <c r="Q688" s="1158"/>
      <c r="R688" s="1158"/>
      <c r="U688" t="s">
        <v>833</v>
      </c>
      <c r="Z688" s="1065"/>
      <c r="AA688" s="1065"/>
      <c r="AB688" s="1065"/>
      <c r="AC688" s="1065"/>
      <c r="AD688" s="1065"/>
      <c r="AE688" s="1065"/>
      <c r="AF688" s="1065"/>
      <c r="AG688" s="1065"/>
      <c r="AH688" s="1065"/>
      <c r="AI688" s="1065"/>
      <c r="AJ688" s="1065"/>
      <c r="AK688" s="10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307"/>
      <c r="H689" s="1307"/>
      <c r="I689" s="1307"/>
      <c r="J689" s="1307"/>
      <c r="K689" s="1307"/>
      <c r="L689" s="1307"/>
      <c r="O689" s="42" t="s">
        <v>818</v>
      </c>
      <c r="P689" s="1066"/>
      <c r="Q689" s="1066"/>
      <c r="R689" s="1066"/>
      <c r="U689" t="s">
        <v>650</v>
      </c>
      <c r="Z689" s="1307"/>
      <c r="AA689" s="1307"/>
      <c r="AB689" s="1307"/>
      <c r="AC689" s="1307"/>
      <c r="AD689" s="1307"/>
      <c r="AE689" s="1307"/>
      <c r="AH689" s="42" t="s">
        <v>818</v>
      </c>
      <c r="AI689" s="1066"/>
      <c r="AJ689" s="1066"/>
      <c r="AK689" s="106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158"/>
      <c r="I690" s="1158"/>
      <c r="J690" s="1158"/>
      <c r="K690" s="1158"/>
      <c r="L690" s="1158"/>
      <c r="M690" s="1158"/>
      <c r="N690" s="1158"/>
      <c r="O690" s="1158"/>
      <c r="P690" s="1158"/>
      <c r="Q690" s="1158"/>
      <c r="R690" s="1158"/>
      <c r="U690" t="s">
        <v>834</v>
      </c>
      <c r="AA690" s="1158"/>
      <c r="AB690" s="1158"/>
      <c r="AC690" s="1158"/>
      <c r="AD690" s="1158"/>
      <c r="AE690" s="1158"/>
      <c r="AF690" s="1158"/>
      <c r="AG690" s="1158"/>
      <c r="AH690" s="1158"/>
      <c r="AI690" s="1158"/>
      <c r="AJ690" s="1158"/>
      <c r="AK690" s="115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49" t="s">
        <v>482</v>
      </c>
      <c r="O691" s="1149"/>
      <c r="U691" t="s">
        <v>836</v>
      </c>
      <c r="AG691" s="1149" t="s">
        <v>482</v>
      </c>
      <c r="AH691" s="1149"/>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2330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34" t="s">
        <v>127</v>
      </c>
      <c r="B694" s="1134"/>
      <c r="C694" s="1134"/>
      <c r="D694" s="1134"/>
      <c r="E694" s="1134"/>
      <c r="F694" s="1134"/>
      <c r="G694" s="1134"/>
      <c r="H694" s="1134"/>
      <c r="I694" s="1134"/>
      <c r="J694" s="1134"/>
      <c r="K694" s="1134"/>
      <c r="L694" s="1134"/>
      <c r="M694" s="1134"/>
      <c r="N694" s="1134"/>
      <c r="O694" s="1134"/>
      <c r="P694" s="1134"/>
      <c r="Q694" s="1134"/>
      <c r="R694" s="1134"/>
      <c r="S694" s="1134"/>
      <c r="T694" s="1134"/>
      <c r="U694" s="1134"/>
      <c r="V694" s="1134"/>
      <c r="W694" s="1134"/>
      <c r="X694" s="1134"/>
      <c r="Y694" s="1134"/>
      <c r="Z694" s="1134"/>
      <c r="AA694" s="1134"/>
      <c r="AB694" s="1134"/>
      <c r="AC694" s="1134"/>
      <c r="AD694" s="1134"/>
      <c r="AE694" s="1134"/>
      <c r="AF694" s="1134"/>
      <c r="AG694" s="1134"/>
      <c r="AH694" s="1134"/>
      <c r="AI694" s="1134"/>
      <c r="AJ694" s="1134"/>
      <c r="AK694" s="1134"/>
      <c r="AL694" s="1134"/>
      <c r="AM694" s="1134"/>
      <c r="AN694" s="1134"/>
      <c r="AO694" s="1134"/>
      <c r="AP694" s="1134"/>
      <c r="AQ694" s="1134"/>
      <c r="AR694" s="1134"/>
      <c r="AS694" s="1134"/>
      <c r="AT694" s="1134"/>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34"/>
      <c r="B695" s="1134"/>
      <c r="C695" s="1134"/>
      <c r="D695" s="1134"/>
      <c r="E695" s="1134"/>
      <c r="F695" s="1134"/>
      <c r="G695" s="1134"/>
      <c r="H695" s="1134"/>
      <c r="I695" s="1134"/>
      <c r="J695" s="1134"/>
      <c r="K695" s="1134"/>
      <c r="L695" s="1134"/>
      <c r="M695" s="1134"/>
      <c r="N695" s="1134"/>
      <c r="O695" s="1134"/>
      <c r="P695" s="1134"/>
      <c r="Q695" s="1134"/>
      <c r="R695" s="1134"/>
      <c r="S695" s="1134"/>
      <c r="T695" s="1134"/>
      <c r="U695" s="1134"/>
      <c r="V695" s="1134"/>
      <c r="W695" s="1134"/>
      <c r="X695" s="1134"/>
      <c r="Y695" s="1134"/>
      <c r="Z695" s="1134"/>
      <c r="AA695" s="1134"/>
      <c r="AB695" s="1134"/>
      <c r="AC695" s="1134"/>
      <c r="AD695" s="1134"/>
      <c r="AE695" s="1134"/>
      <c r="AF695" s="1134"/>
      <c r="AG695" s="1134"/>
      <c r="AH695" s="1134"/>
      <c r="AI695" s="1134"/>
      <c r="AJ695" s="1134"/>
      <c r="AK695" s="1134"/>
      <c r="AL695" s="1134"/>
      <c r="AM695" s="1134"/>
      <c r="AN695" s="1134"/>
      <c r="AO695" s="1134"/>
      <c r="AP695" s="1134"/>
      <c r="AQ695" s="1134"/>
      <c r="AR695" s="1134"/>
      <c r="AS695" s="1134"/>
      <c r="AT695" s="1134"/>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34"/>
      <c r="B696" s="1134"/>
      <c r="C696" s="1134"/>
      <c r="D696" s="1134"/>
      <c r="E696" s="1134"/>
      <c r="F696" s="1134"/>
      <c r="G696" s="1134"/>
      <c r="H696" s="1134"/>
      <c r="I696" s="1134"/>
      <c r="J696" s="1134"/>
      <c r="K696" s="1134"/>
      <c r="L696" s="1134"/>
      <c r="M696" s="1134"/>
      <c r="N696" s="1134"/>
      <c r="O696" s="1134"/>
      <c r="P696" s="1134"/>
      <c r="Q696" s="1134"/>
      <c r="R696" s="1134"/>
      <c r="S696" s="1134"/>
      <c r="T696" s="1134"/>
      <c r="U696" s="1134"/>
      <c r="V696" s="1134"/>
      <c r="W696" s="1134"/>
      <c r="X696" s="1134"/>
      <c r="Y696" s="1134"/>
      <c r="Z696" s="1134"/>
      <c r="AA696" s="1134"/>
      <c r="AB696" s="1134"/>
      <c r="AC696" s="1134"/>
      <c r="AD696" s="1134"/>
      <c r="AE696" s="1134"/>
      <c r="AF696" s="1134"/>
      <c r="AG696" s="1134"/>
      <c r="AH696" s="1134"/>
      <c r="AI696" s="1134"/>
      <c r="AJ696" s="1134"/>
      <c r="AK696" s="1134"/>
      <c r="AL696" s="1134"/>
      <c r="AM696" s="1134"/>
      <c r="AN696" s="1134"/>
      <c r="AO696" s="1134"/>
      <c r="AP696" s="1134"/>
      <c r="AQ696" s="1134"/>
      <c r="AR696" s="1134"/>
      <c r="AS696" s="1134"/>
      <c r="AT696" s="1134"/>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90" t="s">
        <v>54</v>
      </c>
      <c r="C699" s="1291"/>
      <c r="D699" s="1291"/>
      <c r="E699" s="1291"/>
      <c r="F699" s="1292"/>
      <c r="G699" s="1290" t="s">
        <v>256</v>
      </c>
      <c r="H699" s="1291"/>
      <c r="I699" s="1291"/>
      <c r="J699" s="1292"/>
      <c r="K699" s="1281" t="s">
        <v>1981</v>
      </c>
      <c r="L699" s="1282"/>
      <c r="M699" s="1282"/>
      <c r="N699" s="1283"/>
      <c r="O699" s="1290" t="s">
        <v>589</v>
      </c>
      <c r="P699" s="1291"/>
      <c r="Q699" s="1291"/>
      <c r="R699" s="1291"/>
      <c r="S699" s="1292"/>
      <c r="T699" s="1290" t="s">
        <v>257</v>
      </c>
      <c r="U699" s="1291"/>
      <c r="V699" s="1291"/>
      <c r="W699" s="1291"/>
      <c r="X699" s="1292"/>
      <c r="Y699" s="1290" t="s">
        <v>258</v>
      </c>
      <c r="Z699" s="1291"/>
      <c r="AA699" s="1291"/>
      <c r="AB699" s="1292"/>
      <c r="AC699" s="1290" t="s">
        <v>259</v>
      </c>
      <c r="AD699" s="1291"/>
      <c r="AE699" s="1291"/>
      <c r="AF699" s="1291"/>
      <c r="AG699" s="1292"/>
      <c r="AH699" s="1290" t="s">
        <v>1982</v>
      </c>
      <c r="AI699" s="1291"/>
      <c r="AJ699" s="1291"/>
      <c r="AK699" s="1291"/>
      <c r="AL699" s="1292"/>
      <c r="AM699" s="1290" t="s">
        <v>1983</v>
      </c>
      <c r="AN699" s="1291"/>
      <c r="AO699" s="1292"/>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93"/>
      <c r="C700" s="1294"/>
      <c r="D700" s="1294"/>
      <c r="E700" s="1294"/>
      <c r="F700" s="1295"/>
      <c r="G700" s="1293"/>
      <c r="H700" s="1294"/>
      <c r="I700" s="1294"/>
      <c r="J700" s="1295"/>
      <c r="K700" s="1284"/>
      <c r="L700" s="1285"/>
      <c r="M700" s="1285"/>
      <c r="N700" s="1286"/>
      <c r="O700" s="1293"/>
      <c r="P700" s="1294"/>
      <c r="Q700" s="1294"/>
      <c r="R700" s="1294"/>
      <c r="S700" s="1295"/>
      <c r="T700" s="1293"/>
      <c r="U700" s="1294"/>
      <c r="V700" s="1294"/>
      <c r="W700" s="1294"/>
      <c r="X700" s="1295"/>
      <c r="Y700" s="1293"/>
      <c r="Z700" s="1294"/>
      <c r="AA700" s="1294"/>
      <c r="AB700" s="1295"/>
      <c r="AC700" s="1293"/>
      <c r="AD700" s="1294"/>
      <c r="AE700" s="1294"/>
      <c r="AF700" s="1294"/>
      <c r="AG700" s="1295"/>
      <c r="AH700" s="1293"/>
      <c r="AI700" s="1294"/>
      <c r="AJ700" s="1294"/>
      <c r="AK700" s="1294"/>
      <c r="AL700" s="1295"/>
      <c r="AM700" s="1293"/>
      <c r="AN700" s="1294"/>
      <c r="AO700" s="1295"/>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93"/>
      <c r="C701" s="1294"/>
      <c r="D701" s="1294"/>
      <c r="E701" s="1294"/>
      <c r="F701" s="1295"/>
      <c r="G701" s="1293"/>
      <c r="H701" s="1294"/>
      <c r="I701" s="1294"/>
      <c r="J701" s="1295"/>
      <c r="K701" s="1284"/>
      <c r="L701" s="1285"/>
      <c r="M701" s="1285"/>
      <c r="N701" s="1286"/>
      <c r="O701" s="1293"/>
      <c r="P701" s="1294"/>
      <c r="Q701" s="1294"/>
      <c r="R701" s="1294"/>
      <c r="S701" s="1295"/>
      <c r="T701" s="1293"/>
      <c r="U701" s="1294"/>
      <c r="V701" s="1294"/>
      <c r="W701" s="1294"/>
      <c r="X701" s="1295"/>
      <c r="Y701" s="1293"/>
      <c r="Z701" s="1294"/>
      <c r="AA701" s="1294"/>
      <c r="AB701" s="1295"/>
      <c r="AC701" s="1293"/>
      <c r="AD701" s="1294"/>
      <c r="AE701" s="1294"/>
      <c r="AF701" s="1294"/>
      <c r="AG701" s="1295"/>
      <c r="AH701" s="1293"/>
      <c r="AI701" s="1294"/>
      <c r="AJ701" s="1294"/>
      <c r="AK701" s="1294"/>
      <c r="AL701" s="1295"/>
      <c r="AM701" s="1293"/>
      <c r="AN701" s="1294"/>
      <c r="AO701" s="1295"/>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96"/>
      <c r="C702" s="1297"/>
      <c r="D702" s="1297"/>
      <c r="E702" s="1297"/>
      <c r="F702" s="1298"/>
      <c r="G702" s="1296"/>
      <c r="H702" s="1297"/>
      <c r="I702" s="1297"/>
      <c r="J702" s="1298"/>
      <c r="K702" s="1284"/>
      <c r="L702" s="1285"/>
      <c r="M702" s="1285"/>
      <c r="N702" s="1286"/>
      <c r="O702" s="1296"/>
      <c r="P702" s="1297"/>
      <c r="Q702" s="1297"/>
      <c r="R702" s="1297"/>
      <c r="S702" s="1298"/>
      <c r="T702" s="1296"/>
      <c r="U702" s="1297"/>
      <c r="V702" s="1297"/>
      <c r="W702" s="1297"/>
      <c r="X702" s="1298"/>
      <c r="Y702" s="1296"/>
      <c r="Z702" s="1297"/>
      <c r="AA702" s="1297"/>
      <c r="AB702" s="1298"/>
      <c r="AC702" s="1296"/>
      <c r="AD702" s="1297"/>
      <c r="AE702" s="1297"/>
      <c r="AF702" s="1297"/>
      <c r="AG702" s="1298"/>
      <c r="AH702" s="1296"/>
      <c r="AI702" s="1297"/>
      <c r="AJ702" s="1297"/>
      <c r="AK702" s="1297"/>
      <c r="AL702" s="1298"/>
      <c r="AM702" s="1296"/>
      <c r="AN702" s="1297"/>
      <c r="AO702" s="1298"/>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537" t="s">
        <v>442</v>
      </c>
      <c r="C703" s="1407"/>
      <c r="D703" s="1407"/>
      <c r="E703" s="1407"/>
      <c r="F703" s="1408"/>
      <c r="G703" s="1421">
        <v>5</v>
      </c>
      <c r="H703" s="1422"/>
      <c r="I703" s="1422"/>
      <c r="J703" s="1423"/>
      <c r="K703" s="1418">
        <v>516</v>
      </c>
      <c r="L703" s="1419"/>
      <c r="M703" s="1419"/>
      <c r="N703" s="1420"/>
      <c r="O703" s="1181">
        <f>849-6</f>
        <v>843</v>
      </c>
      <c r="P703" s="1182"/>
      <c r="Q703" s="1182"/>
      <c r="R703" s="1182"/>
      <c r="S703" s="1183"/>
      <c r="T703" s="1178">
        <f t="shared" ref="T703:T737" si="34">G703*O703</f>
        <v>4215</v>
      </c>
      <c r="U703" s="1179"/>
      <c r="V703" s="1179"/>
      <c r="W703" s="1179"/>
      <c r="X703" s="1180"/>
      <c r="Y703" s="1181">
        <v>6</v>
      </c>
      <c r="Z703" s="1182"/>
      <c r="AA703" s="1182"/>
      <c r="AB703" s="1183"/>
      <c r="AC703" s="1178">
        <f t="shared" ref="AC703:AC737" si="35">O703+Y703</f>
        <v>849</v>
      </c>
      <c r="AD703" s="1179"/>
      <c r="AE703" s="1179"/>
      <c r="AF703" s="1179"/>
      <c r="AG703" s="1180"/>
      <c r="AH703" s="1428">
        <v>0.3</v>
      </c>
      <c r="AI703" s="1429"/>
      <c r="AJ703" s="1429"/>
      <c r="AK703" s="1429"/>
      <c r="AL703" s="1430"/>
      <c r="AM703" s="1275">
        <f>IF($AH703&gt;0,($AC703/$AV703),"")</f>
        <v>0.3</v>
      </c>
      <c r="AN703" s="1276"/>
      <c r="AO703" s="1277"/>
      <c r="AV703" s="43">
        <f t="shared" ref="AV703:AV737" si="36">IF($G703=0,"N/A",VLOOKUP($T$189,TC_Rent,(MATCH($B703,bedrooms,FALSE))))</f>
        <v>2830</v>
      </c>
      <c r="AX703" s="43"/>
      <c r="AY703" s="442">
        <f t="shared" ref="AY703:AY726" si="37">G703</f>
        <v>5</v>
      </c>
      <c r="AZ703" s="449">
        <f t="shared" ref="AZ703:AZ726" si="38">IF($AY$738=0,"",AY703/$AY$738)</f>
        <v>0.10204081632653061</v>
      </c>
      <c r="BA703" s="450">
        <f t="shared" ref="BA703:BA726" si="39">IF(AZ703="","",AZ703*AH703)</f>
        <v>3.0612244897959183E-2</v>
      </c>
      <c r="BB703" s="41"/>
      <c r="BC703" s="41"/>
      <c r="BD703" s="41"/>
      <c r="BE703" s="848">
        <f t="shared" ref="BE703:BE726" si="40">G703</f>
        <v>5</v>
      </c>
      <c r="BF703" s="852">
        <f t="shared" ref="BF703:BF726" si="41">IF(BE703=0,"",BE703/$BE$738)</f>
        <v>0.10204081632653061</v>
      </c>
      <c r="BG703" s="853">
        <f t="shared" ref="BG703:BG726" si="42">IF(BF703="","",BF703*AM703)</f>
        <v>3.0612244897959183E-2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537" t="s">
        <v>442</v>
      </c>
      <c r="C704" s="1407"/>
      <c r="D704" s="1407"/>
      <c r="E704" s="1407"/>
      <c r="F704" s="1408"/>
      <c r="G704" s="1421">
        <v>3</v>
      </c>
      <c r="H704" s="1422"/>
      <c r="I704" s="1422"/>
      <c r="J704" s="1423"/>
      <c r="K704" s="1418">
        <v>516</v>
      </c>
      <c r="L704" s="1419"/>
      <c r="M704" s="1419"/>
      <c r="N704" s="1420"/>
      <c r="O704" s="1181">
        <v>1126</v>
      </c>
      <c r="P704" s="1182"/>
      <c r="Q704" s="1182"/>
      <c r="R704" s="1182"/>
      <c r="S704" s="1183"/>
      <c r="T704" s="1178">
        <f t="shared" si="34"/>
        <v>3378</v>
      </c>
      <c r="U704" s="1179"/>
      <c r="V704" s="1179"/>
      <c r="W704" s="1179"/>
      <c r="X704" s="1180"/>
      <c r="Y704" s="1181">
        <v>6</v>
      </c>
      <c r="Z704" s="1182"/>
      <c r="AA704" s="1182"/>
      <c r="AB704" s="1183"/>
      <c r="AC704" s="1178">
        <f t="shared" si="35"/>
        <v>1132</v>
      </c>
      <c r="AD704" s="1179"/>
      <c r="AE704" s="1179"/>
      <c r="AF704" s="1179"/>
      <c r="AG704" s="1180"/>
      <c r="AH704" s="1303">
        <v>0.4</v>
      </c>
      <c r="AI704" s="1304"/>
      <c r="AJ704" s="1304"/>
      <c r="AK704" s="1304"/>
      <c r="AL704" s="1305"/>
      <c r="AM704" s="1275">
        <f t="shared" ref="AM704:AM726" si="43">IF($AH704&gt;0,($AC704/$AV704), "")</f>
        <v>0.4</v>
      </c>
      <c r="AN704" s="1276"/>
      <c r="AO704" s="1277"/>
      <c r="AV704" s="43">
        <f t="shared" si="36"/>
        <v>2830</v>
      </c>
      <c r="AX704" s="43"/>
      <c r="AY704" s="443">
        <f t="shared" si="37"/>
        <v>3</v>
      </c>
      <c r="AZ704" s="449">
        <f t="shared" si="38"/>
        <v>6.1224489795918366E-2</v>
      </c>
      <c r="BA704" s="450">
        <f t="shared" si="39"/>
        <v>2.4489795918367349E-2</v>
      </c>
      <c r="BB704" s="41"/>
      <c r="BC704" s="41"/>
      <c r="BD704" s="41"/>
      <c r="BE704" s="848">
        <f t="shared" si="40"/>
        <v>3</v>
      </c>
      <c r="BF704" s="852">
        <f t="shared" si="41"/>
        <v>6.1224489795918366E-2</v>
      </c>
      <c r="BG704" s="853">
        <f t="shared" si="42"/>
        <v>2.4489795918367349E-2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537" t="s">
        <v>442</v>
      </c>
      <c r="C705" s="1407"/>
      <c r="D705" s="1407"/>
      <c r="E705" s="1407"/>
      <c r="F705" s="1408"/>
      <c r="G705" s="1421">
        <v>5</v>
      </c>
      <c r="H705" s="1422"/>
      <c r="I705" s="1422"/>
      <c r="J705" s="1423"/>
      <c r="K705" s="1418">
        <v>516</v>
      </c>
      <c r="L705" s="1419"/>
      <c r="M705" s="1419"/>
      <c r="N705" s="1420"/>
      <c r="O705" s="1181">
        <v>1409</v>
      </c>
      <c r="P705" s="1182"/>
      <c r="Q705" s="1182"/>
      <c r="R705" s="1182"/>
      <c r="S705" s="1183"/>
      <c r="T705" s="1178">
        <f t="shared" si="34"/>
        <v>7045</v>
      </c>
      <c r="U705" s="1179"/>
      <c r="V705" s="1179"/>
      <c r="W705" s="1179"/>
      <c r="X705" s="1180"/>
      <c r="Y705" s="1181">
        <v>6</v>
      </c>
      <c r="Z705" s="1182"/>
      <c r="AA705" s="1182"/>
      <c r="AB705" s="1183"/>
      <c r="AC705" s="1178">
        <f t="shared" si="35"/>
        <v>1415</v>
      </c>
      <c r="AD705" s="1179"/>
      <c r="AE705" s="1179"/>
      <c r="AF705" s="1179"/>
      <c r="AG705" s="1180"/>
      <c r="AH705" s="1303">
        <v>0.5</v>
      </c>
      <c r="AI705" s="1304"/>
      <c r="AJ705" s="1304"/>
      <c r="AK705" s="1304"/>
      <c r="AL705" s="1305"/>
      <c r="AM705" s="1275">
        <f t="shared" si="43"/>
        <v>0.5</v>
      </c>
      <c r="AN705" s="1276"/>
      <c r="AO705" s="1277"/>
      <c r="AV705" s="43">
        <f t="shared" si="36"/>
        <v>2830</v>
      </c>
      <c r="AX705" s="41"/>
      <c r="AY705" s="443">
        <f t="shared" si="37"/>
        <v>5</v>
      </c>
      <c r="AZ705" s="449">
        <f t="shared" si="38"/>
        <v>0.10204081632653061</v>
      </c>
      <c r="BA705" s="450">
        <f t="shared" si="39"/>
        <v>5.1020408163265307E-2</v>
      </c>
      <c r="BB705" s="41"/>
      <c r="BC705" s="41"/>
      <c r="BD705" s="41"/>
      <c r="BE705" s="848">
        <f t="shared" si="40"/>
        <v>5</v>
      </c>
      <c r="BF705" s="852">
        <f t="shared" si="41"/>
        <v>0.10204081632653061</v>
      </c>
      <c r="BG705" s="853">
        <f t="shared" si="42"/>
        <v>5.1020408163265307E-2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537" t="s">
        <v>780</v>
      </c>
      <c r="C706" s="1407"/>
      <c r="D706" s="1407"/>
      <c r="E706" s="1407"/>
      <c r="F706" s="1408"/>
      <c r="G706" s="1421">
        <v>6</v>
      </c>
      <c r="H706" s="1422"/>
      <c r="I706" s="1422"/>
      <c r="J706" s="1423"/>
      <c r="K706" s="1418">
        <v>753</v>
      </c>
      <c r="L706" s="1419"/>
      <c r="M706" s="1419"/>
      <c r="N706" s="1420"/>
      <c r="O706" s="1181">
        <v>1013</v>
      </c>
      <c r="P706" s="1182"/>
      <c r="Q706" s="1182"/>
      <c r="R706" s="1182"/>
      <c r="S706" s="1183"/>
      <c r="T706" s="1178">
        <f t="shared" si="34"/>
        <v>6078</v>
      </c>
      <c r="U706" s="1179"/>
      <c r="V706" s="1179"/>
      <c r="W706" s="1179"/>
      <c r="X706" s="1180"/>
      <c r="Y706" s="1181">
        <v>6</v>
      </c>
      <c r="Z706" s="1182"/>
      <c r="AA706" s="1182"/>
      <c r="AB706" s="1183"/>
      <c r="AC706" s="1178">
        <f t="shared" si="35"/>
        <v>1019</v>
      </c>
      <c r="AD706" s="1179"/>
      <c r="AE706" s="1179"/>
      <c r="AF706" s="1179"/>
      <c r="AG706" s="1180"/>
      <c r="AH706" s="1303">
        <v>0.3</v>
      </c>
      <c r="AI706" s="1304"/>
      <c r="AJ706" s="1304"/>
      <c r="AK706" s="1304"/>
      <c r="AL706" s="1305"/>
      <c r="AM706" s="1275">
        <f t="shared" si="43"/>
        <v>0.30005889281507658</v>
      </c>
      <c r="AN706" s="1276"/>
      <c r="AO706" s="1277"/>
      <c r="AV706" s="43">
        <f t="shared" si="36"/>
        <v>3396</v>
      </c>
      <c r="AX706" s="41"/>
      <c r="AY706" s="443">
        <f t="shared" si="37"/>
        <v>6</v>
      </c>
      <c r="AZ706" s="449">
        <f t="shared" si="38"/>
        <v>0.12244897959183673</v>
      </c>
      <c r="BA706" s="450">
        <f t="shared" si="39"/>
        <v>3.6734693877551017E-2</v>
      </c>
      <c r="BB706" s="41"/>
      <c r="BC706" s="41"/>
      <c r="BD706" s="41"/>
      <c r="BE706" s="848">
        <f t="shared" si="40"/>
        <v>6</v>
      </c>
      <c r="BF706" s="852">
        <f t="shared" si="41"/>
        <v>0.12244897959183673</v>
      </c>
      <c r="BG706" s="853">
        <f t="shared" si="42"/>
        <v>3.6741905242662437E-2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537" t="s">
        <v>780</v>
      </c>
      <c r="C707" s="1407"/>
      <c r="D707" s="1407"/>
      <c r="E707" s="1407"/>
      <c r="F707" s="1408"/>
      <c r="G707" s="1421">
        <v>4</v>
      </c>
      <c r="H707" s="1422"/>
      <c r="I707" s="1422"/>
      <c r="J707" s="1423"/>
      <c r="K707" s="1418">
        <v>753</v>
      </c>
      <c r="L707" s="1419"/>
      <c r="M707" s="1419"/>
      <c r="N707" s="1420"/>
      <c r="O707" s="1181">
        <v>1353</v>
      </c>
      <c r="P707" s="1182"/>
      <c r="Q707" s="1182"/>
      <c r="R707" s="1182"/>
      <c r="S707" s="1183"/>
      <c r="T707" s="1178">
        <f t="shared" si="34"/>
        <v>5412</v>
      </c>
      <c r="U707" s="1179"/>
      <c r="V707" s="1179"/>
      <c r="W707" s="1179"/>
      <c r="X707" s="1180"/>
      <c r="Y707" s="1181">
        <v>6</v>
      </c>
      <c r="Z707" s="1182"/>
      <c r="AA707" s="1182"/>
      <c r="AB707" s="1183"/>
      <c r="AC707" s="1178">
        <f t="shared" si="35"/>
        <v>1359</v>
      </c>
      <c r="AD707" s="1179"/>
      <c r="AE707" s="1179"/>
      <c r="AF707" s="1179"/>
      <c r="AG707" s="1180"/>
      <c r="AH707" s="1303">
        <v>0.4</v>
      </c>
      <c r="AI707" s="1304"/>
      <c r="AJ707" s="1304"/>
      <c r="AK707" s="1304"/>
      <c r="AL707" s="1305"/>
      <c r="AM707" s="1275">
        <f t="shared" si="43"/>
        <v>0.40017667844522969</v>
      </c>
      <c r="AN707" s="1276"/>
      <c r="AO707" s="1277"/>
      <c r="AV707" s="43">
        <f t="shared" si="36"/>
        <v>3396</v>
      </c>
      <c r="AX707" s="41"/>
      <c r="AY707" s="443">
        <f t="shared" si="37"/>
        <v>4</v>
      </c>
      <c r="AZ707" s="449">
        <f t="shared" si="38"/>
        <v>8.1632653061224483E-2</v>
      </c>
      <c r="BA707" s="450">
        <f t="shared" si="39"/>
        <v>3.2653061224489792E-2</v>
      </c>
      <c r="BB707" s="41"/>
      <c r="BC707" s="41"/>
      <c r="BD707" s="41"/>
      <c r="BE707" s="848">
        <f t="shared" si="40"/>
        <v>4</v>
      </c>
      <c r="BF707" s="852">
        <f t="shared" si="41"/>
        <v>8.1632653061224483E-2</v>
      </c>
      <c r="BG707" s="853">
        <f t="shared" si="42"/>
        <v>3.2667483954712626E-2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537" t="s">
        <v>780</v>
      </c>
      <c r="C708" s="1407"/>
      <c r="D708" s="1407"/>
      <c r="E708" s="1407"/>
      <c r="F708" s="1408"/>
      <c r="G708" s="1421">
        <v>13</v>
      </c>
      <c r="H708" s="1422"/>
      <c r="I708" s="1422"/>
      <c r="J708" s="1423"/>
      <c r="K708" s="1418">
        <v>753</v>
      </c>
      <c r="L708" s="1419"/>
      <c r="M708" s="1419"/>
      <c r="N708" s="1420"/>
      <c r="O708" s="1181">
        <v>1692</v>
      </c>
      <c r="P708" s="1182"/>
      <c r="Q708" s="1182"/>
      <c r="R708" s="1182"/>
      <c r="S708" s="1183"/>
      <c r="T708" s="1178">
        <f t="shared" si="34"/>
        <v>21996</v>
      </c>
      <c r="U708" s="1179"/>
      <c r="V708" s="1179"/>
      <c r="W708" s="1179"/>
      <c r="X708" s="1180"/>
      <c r="Y708" s="1181">
        <v>6</v>
      </c>
      <c r="Z708" s="1182"/>
      <c r="AA708" s="1182"/>
      <c r="AB708" s="1183"/>
      <c r="AC708" s="1178">
        <f t="shared" si="35"/>
        <v>1698</v>
      </c>
      <c r="AD708" s="1179"/>
      <c r="AE708" s="1179"/>
      <c r="AF708" s="1179"/>
      <c r="AG708" s="1180"/>
      <c r="AH708" s="1303">
        <v>0.5</v>
      </c>
      <c r="AI708" s="1304"/>
      <c r="AJ708" s="1304"/>
      <c r="AK708" s="1304"/>
      <c r="AL708" s="1305"/>
      <c r="AM708" s="1275">
        <f t="shared" si="43"/>
        <v>0.5</v>
      </c>
      <c r="AN708" s="1276"/>
      <c r="AO708" s="1277"/>
      <c r="AV708" s="43">
        <f t="shared" si="36"/>
        <v>3396</v>
      </c>
      <c r="AX708" s="41"/>
      <c r="AY708" s="443">
        <f t="shared" si="37"/>
        <v>13</v>
      </c>
      <c r="AZ708" s="449">
        <f t="shared" si="38"/>
        <v>0.26530612244897961</v>
      </c>
      <c r="BA708" s="450">
        <f t="shared" si="39"/>
        <v>0.1326530612244898</v>
      </c>
      <c r="BB708" s="41"/>
      <c r="BC708" s="41"/>
      <c r="BD708" s="41"/>
      <c r="BE708" s="848">
        <f t="shared" si="40"/>
        <v>13</v>
      </c>
      <c r="BF708" s="852">
        <f t="shared" si="41"/>
        <v>0.26530612244897961</v>
      </c>
      <c r="BG708" s="853">
        <f t="shared" si="42"/>
        <v>0.1326530612244898</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537" t="s">
        <v>781</v>
      </c>
      <c r="C709" s="1407"/>
      <c r="D709" s="1407"/>
      <c r="E709" s="1407"/>
      <c r="F709" s="1408"/>
      <c r="G709" s="1421">
        <v>2</v>
      </c>
      <c r="H709" s="1422"/>
      <c r="I709" s="1422"/>
      <c r="J709" s="1423"/>
      <c r="K709" s="1418">
        <v>1106</v>
      </c>
      <c r="L709" s="1419"/>
      <c r="M709" s="1419"/>
      <c r="N709" s="1420"/>
      <c r="O709" s="1181">
        <v>1171</v>
      </c>
      <c r="P709" s="1182"/>
      <c r="Q709" s="1182"/>
      <c r="R709" s="1182"/>
      <c r="S709" s="1183"/>
      <c r="T709" s="1178">
        <f t="shared" si="34"/>
        <v>2342</v>
      </c>
      <c r="U709" s="1179"/>
      <c r="V709" s="1179"/>
      <c r="W709" s="1179"/>
      <c r="X709" s="1180"/>
      <c r="Y709" s="1181">
        <v>6</v>
      </c>
      <c r="Z709" s="1182"/>
      <c r="AA709" s="1182"/>
      <c r="AB709" s="1183"/>
      <c r="AC709" s="1178">
        <f t="shared" si="35"/>
        <v>1177</v>
      </c>
      <c r="AD709" s="1179"/>
      <c r="AE709" s="1179"/>
      <c r="AF709" s="1179"/>
      <c r="AG709" s="1180"/>
      <c r="AH709" s="1303">
        <v>0.3</v>
      </c>
      <c r="AI709" s="1304"/>
      <c r="AJ709" s="1304"/>
      <c r="AK709" s="1304"/>
      <c r="AL709" s="1305"/>
      <c r="AM709" s="1275">
        <f t="shared" si="43"/>
        <v>0.2997962302598064</v>
      </c>
      <c r="AN709" s="1276"/>
      <c r="AO709" s="1277"/>
      <c r="AV709" s="43">
        <f t="shared" si="36"/>
        <v>3926</v>
      </c>
      <c r="AX709" s="41"/>
      <c r="AY709" s="443">
        <f t="shared" si="37"/>
        <v>2</v>
      </c>
      <c r="AZ709" s="449">
        <f t="shared" si="38"/>
        <v>4.0816326530612242E-2</v>
      </c>
      <c r="BA709" s="450">
        <f t="shared" si="39"/>
        <v>1.2244897959183673E-2</v>
      </c>
      <c r="BB709" s="41"/>
      <c r="BC709" s="41"/>
      <c r="BD709" s="41"/>
      <c r="BE709" s="848">
        <f t="shared" si="40"/>
        <v>2</v>
      </c>
      <c r="BF709" s="852">
        <f t="shared" si="41"/>
        <v>4.0816326530612242E-2</v>
      </c>
      <c r="BG709" s="853">
        <f t="shared" si="42"/>
        <v>1.2236580826930873E-2</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537" t="s">
        <v>781</v>
      </c>
      <c r="C710" s="1407"/>
      <c r="D710" s="1407"/>
      <c r="E710" s="1407"/>
      <c r="F710" s="1408"/>
      <c r="G710" s="1421">
        <v>3</v>
      </c>
      <c r="H710" s="1422"/>
      <c r="I710" s="1422"/>
      <c r="J710" s="1423"/>
      <c r="K710" s="1418">
        <v>1106</v>
      </c>
      <c r="L710" s="1419"/>
      <c r="M710" s="1419"/>
      <c r="N710" s="1420"/>
      <c r="O710" s="1181">
        <v>1564</v>
      </c>
      <c r="P710" s="1182"/>
      <c r="Q710" s="1182"/>
      <c r="R710" s="1182"/>
      <c r="S710" s="1183"/>
      <c r="T710" s="1178">
        <f t="shared" si="34"/>
        <v>4692</v>
      </c>
      <c r="U710" s="1179"/>
      <c r="V710" s="1179"/>
      <c r="W710" s="1179"/>
      <c r="X710" s="1180"/>
      <c r="Y710" s="1181">
        <v>6</v>
      </c>
      <c r="Z710" s="1182"/>
      <c r="AA710" s="1182"/>
      <c r="AB710" s="1183"/>
      <c r="AC710" s="1178">
        <f t="shared" si="35"/>
        <v>1570</v>
      </c>
      <c r="AD710" s="1179"/>
      <c r="AE710" s="1179"/>
      <c r="AF710" s="1179"/>
      <c r="AG710" s="1180"/>
      <c r="AH710" s="1303">
        <v>0.4</v>
      </c>
      <c r="AI710" s="1304"/>
      <c r="AJ710" s="1304"/>
      <c r="AK710" s="1304"/>
      <c r="AL710" s="1305"/>
      <c r="AM710" s="1275">
        <f t="shared" si="43"/>
        <v>0.3998981151299032</v>
      </c>
      <c r="AN710" s="1276"/>
      <c r="AO710" s="1277"/>
      <c r="AV710" s="43">
        <f t="shared" si="36"/>
        <v>3926</v>
      </c>
      <c r="AX710" s="41"/>
      <c r="AY710" s="443">
        <f t="shared" si="37"/>
        <v>3</v>
      </c>
      <c r="AZ710" s="449">
        <f t="shared" si="38"/>
        <v>6.1224489795918366E-2</v>
      </c>
      <c r="BA710" s="450">
        <f t="shared" si="39"/>
        <v>2.4489795918367349E-2</v>
      </c>
      <c r="BB710" s="41"/>
      <c r="BC710" s="41"/>
      <c r="BD710" s="41"/>
      <c r="BE710" s="848">
        <f t="shared" si="40"/>
        <v>3</v>
      </c>
      <c r="BF710" s="852">
        <f t="shared" si="41"/>
        <v>6.1224489795918366E-2</v>
      </c>
      <c r="BG710" s="853">
        <f t="shared" si="42"/>
        <v>2.4483558069177746E-2</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537" t="s">
        <v>781</v>
      </c>
      <c r="C711" s="1407"/>
      <c r="D711" s="1407"/>
      <c r="E711" s="1407"/>
      <c r="F711" s="1408"/>
      <c r="G711" s="1421">
        <v>8</v>
      </c>
      <c r="H711" s="1422"/>
      <c r="I711" s="1422"/>
      <c r="J711" s="1423"/>
      <c r="K711" s="1418">
        <v>1106</v>
      </c>
      <c r="L711" s="1419"/>
      <c r="M711" s="1419"/>
      <c r="N711" s="1420"/>
      <c r="O711" s="1181">
        <v>1957</v>
      </c>
      <c r="P711" s="1182"/>
      <c r="Q711" s="1182"/>
      <c r="R711" s="1182"/>
      <c r="S711" s="1183"/>
      <c r="T711" s="1178">
        <f t="shared" si="34"/>
        <v>15656</v>
      </c>
      <c r="U711" s="1179"/>
      <c r="V711" s="1179"/>
      <c r="W711" s="1179"/>
      <c r="X711" s="1180"/>
      <c r="Y711" s="1181">
        <v>6</v>
      </c>
      <c r="Z711" s="1182"/>
      <c r="AA711" s="1182"/>
      <c r="AB711" s="1183"/>
      <c r="AC711" s="1178">
        <f t="shared" si="35"/>
        <v>1963</v>
      </c>
      <c r="AD711" s="1179"/>
      <c r="AE711" s="1179"/>
      <c r="AF711" s="1179"/>
      <c r="AG711" s="1180"/>
      <c r="AH711" s="1303">
        <v>0.5</v>
      </c>
      <c r="AI711" s="1304"/>
      <c r="AJ711" s="1304"/>
      <c r="AK711" s="1304"/>
      <c r="AL711" s="1305"/>
      <c r="AM711" s="1275">
        <f t="shared" si="43"/>
        <v>0.5</v>
      </c>
      <c r="AN711" s="1276"/>
      <c r="AO711" s="1277"/>
      <c r="AV711" s="43">
        <f t="shared" si="36"/>
        <v>3926</v>
      </c>
      <c r="AX711" s="41"/>
      <c r="AY711" s="443">
        <f t="shared" si="37"/>
        <v>8</v>
      </c>
      <c r="AZ711" s="449">
        <f t="shared" si="38"/>
        <v>0.16326530612244897</v>
      </c>
      <c r="BA711" s="450">
        <f t="shared" si="39"/>
        <v>8.1632653061224483E-2</v>
      </c>
      <c r="BB711" s="41"/>
      <c r="BC711" s="41"/>
      <c r="BD711" s="41"/>
      <c r="BE711" s="848">
        <f t="shared" si="40"/>
        <v>8</v>
      </c>
      <c r="BF711" s="852">
        <f t="shared" si="41"/>
        <v>0.16326530612244897</v>
      </c>
      <c r="BG711" s="853">
        <f t="shared" si="42"/>
        <v>8.1632653061224483E-2</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96"/>
      <c r="C712" s="1397"/>
      <c r="D712" s="1397"/>
      <c r="E712" s="1397"/>
      <c r="F712" s="1424"/>
      <c r="G712" s="1425"/>
      <c r="H712" s="1426"/>
      <c r="I712" s="1426"/>
      <c r="J712" s="1427"/>
      <c r="K712" s="1299"/>
      <c r="L712" s="1300"/>
      <c r="M712" s="1300"/>
      <c r="N712" s="1301"/>
      <c r="O712" s="1181"/>
      <c r="P712" s="1182"/>
      <c r="Q712" s="1182"/>
      <c r="R712" s="1182"/>
      <c r="S712" s="1183"/>
      <c r="T712" s="1178">
        <f t="shared" si="34"/>
        <v>0</v>
      </c>
      <c r="U712" s="1179"/>
      <c r="V712" s="1179"/>
      <c r="W712" s="1179"/>
      <c r="X712" s="1180"/>
      <c r="Y712" s="1181"/>
      <c r="Z712" s="1182"/>
      <c r="AA712" s="1182"/>
      <c r="AB712" s="1183"/>
      <c r="AC712" s="1178">
        <f t="shared" si="35"/>
        <v>0</v>
      </c>
      <c r="AD712" s="1179"/>
      <c r="AE712" s="1179"/>
      <c r="AF712" s="1179"/>
      <c r="AG712" s="1180"/>
      <c r="AH712" s="1303"/>
      <c r="AI712" s="1304"/>
      <c r="AJ712" s="1304"/>
      <c r="AK712" s="1304"/>
      <c r="AL712" s="1305"/>
      <c r="AM712" s="1275" t="str">
        <f t="shared" si="43"/>
        <v/>
      </c>
      <c r="AN712" s="1276"/>
      <c r="AO712" s="1277"/>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96"/>
      <c r="C713" s="1397"/>
      <c r="D713" s="1397"/>
      <c r="E713" s="1397"/>
      <c r="F713" s="1424"/>
      <c r="G713" s="1425"/>
      <c r="H713" s="1426"/>
      <c r="I713" s="1426"/>
      <c r="J713" s="1427"/>
      <c r="K713" s="1299"/>
      <c r="L713" s="1300"/>
      <c r="M713" s="1300"/>
      <c r="N713" s="1301"/>
      <c r="O713" s="1181"/>
      <c r="P713" s="1182"/>
      <c r="Q713" s="1182"/>
      <c r="R713" s="1182"/>
      <c r="S713" s="1183"/>
      <c r="T713" s="1178">
        <f t="shared" si="34"/>
        <v>0</v>
      </c>
      <c r="U713" s="1179"/>
      <c r="V713" s="1179"/>
      <c r="W713" s="1179"/>
      <c r="X713" s="1180"/>
      <c r="Y713" s="1181"/>
      <c r="Z713" s="1182"/>
      <c r="AA713" s="1182"/>
      <c r="AB713" s="1183"/>
      <c r="AC713" s="1178">
        <f t="shared" si="35"/>
        <v>0</v>
      </c>
      <c r="AD713" s="1179"/>
      <c r="AE713" s="1179"/>
      <c r="AF713" s="1179"/>
      <c r="AG713" s="1180"/>
      <c r="AH713" s="1303"/>
      <c r="AI713" s="1304"/>
      <c r="AJ713" s="1304"/>
      <c r="AK713" s="1304"/>
      <c r="AL713" s="1305"/>
      <c r="AM713" s="1275" t="str">
        <f t="shared" si="43"/>
        <v/>
      </c>
      <c r="AN713" s="1276"/>
      <c r="AO713" s="1277"/>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96"/>
      <c r="C714" s="1397"/>
      <c r="D714" s="1397"/>
      <c r="E714" s="1397"/>
      <c r="F714" s="1424"/>
      <c r="G714" s="1425"/>
      <c r="H714" s="1426"/>
      <c r="I714" s="1426"/>
      <c r="J714" s="1427"/>
      <c r="K714" s="1299"/>
      <c r="L714" s="1300"/>
      <c r="M714" s="1300"/>
      <c r="N714" s="1301"/>
      <c r="O714" s="1181"/>
      <c r="P714" s="1182"/>
      <c r="Q714" s="1182"/>
      <c r="R714" s="1182"/>
      <c r="S714" s="1183"/>
      <c r="T714" s="1178">
        <f t="shared" si="34"/>
        <v>0</v>
      </c>
      <c r="U714" s="1179"/>
      <c r="V714" s="1179"/>
      <c r="W714" s="1179"/>
      <c r="X714" s="1180"/>
      <c r="Y714" s="1181"/>
      <c r="Z714" s="1182"/>
      <c r="AA714" s="1182"/>
      <c r="AB714" s="1183"/>
      <c r="AC714" s="1178">
        <f t="shared" si="35"/>
        <v>0</v>
      </c>
      <c r="AD714" s="1179"/>
      <c r="AE714" s="1179"/>
      <c r="AF714" s="1179"/>
      <c r="AG714" s="1180"/>
      <c r="AH714" s="1303"/>
      <c r="AI714" s="1304"/>
      <c r="AJ714" s="1304"/>
      <c r="AK714" s="1304"/>
      <c r="AL714" s="1305"/>
      <c r="AM714" s="1275" t="str">
        <f t="shared" si="43"/>
        <v/>
      </c>
      <c r="AN714" s="1276"/>
      <c r="AO714" s="1277"/>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96"/>
      <c r="C715" s="1397"/>
      <c r="D715" s="1397"/>
      <c r="E715" s="1397"/>
      <c r="F715" s="1424"/>
      <c r="G715" s="1425"/>
      <c r="H715" s="1426"/>
      <c r="I715" s="1426"/>
      <c r="J715" s="1427"/>
      <c r="K715" s="1299"/>
      <c r="L715" s="1300"/>
      <c r="M715" s="1300"/>
      <c r="N715" s="1301"/>
      <c r="O715" s="1181"/>
      <c r="P715" s="1182"/>
      <c r="Q715" s="1182"/>
      <c r="R715" s="1182"/>
      <c r="S715" s="1183"/>
      <c r="T715" s="1178">
        <f t="shared" si="34"/>
        <v>0</v>
      </c>
      <c r="U715" s="1179"/>
      <c r="V715" s="1179"/>
      <c r="W715" s="1179"/>
      <c r="X715" s="1180"/>
      <c r="Y715" s="1181"/>
      <c r="Z715" s="1182"/>
      <c r="AA715" s="1182"/>
      <c r="AB715" s="1183"/>
      <c r="AC715" s="1178">
        <f t="shared" si="35"/>
        <v>0</v>
      </c>
      <c r="AD715" s="1179"/>
      <c r="AE715" s="1179"/>
      <c r="AF715" s="1179"/>
      <c r="AG715" s="1180"/>
      <c r="AH715" s="1303"/>
      <c r="AI715" s="1304"/>
      <c r="AJ715" s="1304"/>
      <c r="AK715" s="1304"/>
      <c r="AL715" s="1305"/>
      <c r="AM715" s="1275" t="str">
        <f t="shared" si="43"/>
        <v/>
      </c>
      <c r="AN715" s="1276"/>
      <c r="AO715" s="1277"/>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96"/>
      <c r="C716" s="1397"/>
      <c r="D716" s="1397"/>
      <c r="E716" s="1397"/>
      <c r="F716" s="1424"/>
      <c r="G716" s="1425"/>
      <c r="H716" s="1426"/>
      <c r="I716" s="1426"/>
      <c r="J716" s="1427"/>
      <c r="K716" s="1299"/>
      <c r="L716" s="1300"/>
      <c r="M716" s="1300"/>
      <c r="N716" s="1301"/>
      <c r="O716" s="1181"/>
      <c r="P716" s="1182"/>
      <c r="Q716" s="1182"/>
      <c r="R716" s="1182"/>
      <c r="S716" s="1183"/>
      <c r="T716" s="1178">
        <f t="shared" si="34"/>
        <v>0</v>
      </c>
      <c r="U716" s="1179"/>
      <c r="V716" s="1179"/>
      <c r="W716" s="1179"/>
      <c r="X716" s="1180"/>
      <c r="Y716" s="1181"/>
      <c r="Z716" s="1182"/>
      <c r="AA716" s="1182"/>
      <c r="AB716" s="1183"/>
      <c r="AC716" s="1178">
        <f t="shared" si="35"/>
        <v>0</v>
      </c>
      <c r="AD716" s="1179"/>
      <c r="AE716" s="1179"/>
      <c r="AF716" s="1179"/>
      <c r="AG716" s="1180"/>
      <c r="AH716" s="1303"/>
      <c r="AI716" s="1304"/>
      <c r="AJ716" s="1304"/>
      <c r="AK716" s="1304"/>
      <c r="AL716" s="1305"/>
      <c r="AM716" s="1275" t="str">
        <f t="shared" si="43"/>
        <v/>
      </c>
      <c r="AN716" s="1276"/>
      <c r="AO716" s="1277"/>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96"/>
      <c r="C717" s="1397"/>
      <c r="D717" s="1397"/>
      <c r="E717" s="1397"/>
      <c r="F717" s="1424"/>
      <c r="G717" s="1425"/>
      <c r="H717" s="1426"/>
      <c r="I717" s="1426"/>
      <c r="J717" s="1427"/>
      <c r="K717" s="1299"/>
      <c r="L717" s="1300"/>
      <c r="M717" s="1300"/>
      <c r="N717" s="1301"/>
      <c r="O717" s="1181"/>
      <c r="P717" s="1182"/>
      <c r="Q717" s="1182"/>
      <c r="R717" s="1182"/>
      <c r="S717" s="1183"/>
      <c r="T717" s="1178">
        <f t="shared" si="34"/>
        <v>0</v>
      </c>
      <c r="U717" s="1179"/>
      <c r="V717" s="1179"/>
      <c r="W717" s="1179"/>
      <c r="X717" s="1180"/>
      <c r="Y717" s="1181"/>
      <c r="Z717" s="1182"/>
      <c r="AA717" s="1182"/>
      <c r="AB717" s="1183"/>
      <c r="AC717" s="1178">
        <f t="shared" si="35"/>
        <v>0</v>
      </c>
      <c r="AD717" s="1179"/>
      <c r="AE717" s="1179"/>
      <c r="AF717" s="1179"/>
      <c r="AG717" s="1180"/>
      <c r="AH717" s="1303"/>
      <c r="AI717" s="1304"/>
      <c r="AJ717" s="1304"/>
      <c r="AK717" s="1304"/>
      <c r="AL717" s="1305"/>
      <c r="AM717" s="1275" t="str">
        <f t="shared" si="43"/>
        <v/>
      </c>
      <c r="AN717" s="1276"/>
      <c r="AO717" s="1277"/>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96"/>
      <c r="C718" s="1397"/>
      <c r="D718" s="1397"/>
      <c r="E718" s="1397"/>
      <c r="F718" s="1424"/>
      <c r="G718" s="1425"/>
      <c r="H718" s="1426"/>
      <c r="I718" s="1426"/>
      <c r="J718" s="1427"/>
      <c r="K718" s="1299"/>
      <c r="L718" s="1300"/>
      <c r="M718" s="1300"/>
      <c r="N718" s="1301"/>
      <c r="O718" s="1181"/>
      <c r="P718" s="1182"/>
      <c r="Q718" s="1182"/>
      <c r="R718" s="1182"/>
      <c r="S718" s="1183"/>
      <c r="T718" s="1178">
        <f t="shared" si="34"/>
        <v>0</v>
      </c>
      <c r="U718" s="1179"/>
      <c r="V718" s="1179"/>
      <c r="W718" s="1179"/>
      <c r="X718" s="1180"/>
      <c r="Y718" s="1181"/>
      <c r="Z718" s="1182"/>
      <c r="AA718" s="1182"/>
      <c r="AB718" s="1183"/>
      <c r="AC718" s="1178">
        <f t="shared" si="35"/>
        <v>0</v>
      </c>
      <c r="AD718" s="1179"/>
      <c r="AE718" s="1179"/>
      <c r="AF718" s="1179"/>
      <c r="AG718" s="1180"/>
      <c r="AH718" s="1303"/>
      <c r="AI718" s="1304"/>
      <c r="AJ718" s="1304"/>
      <c r="AK718" s="1304"/>
      <c r="AL718" s="1305"/>
      <c r="AM718" s="1275" t="str">
        <f t="shared" si="43"/>
        <v/>
      </c>
      <c r="AN718" s="1276"/>
      <c r="AO718" s="1277"/>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96"/>
      <c r="C719" s="1397"/>
      <c r="D719" s="1397"/>
      <c r="E719" s="1397"/>
      <c r="F719" s="1424"/>
      <c r="G719" s="1425"/>
      <c r="H719" s="1426"/>
      <c r="I719" s="1426"/>
      <c r="J719" s="1427"/>
      <c r="K719" s="1299"/>
      <c r="L719" s="1300"/>
      <c r="M719" s="1300"/>
      <c r="N719" s="1301"/>
      <c r="O719" s="1181"/>
      <c r="P719" s="1182"/>
      <c r="Q719" s="1182"/>
      <c r="R719" s="1182"/>
      <c r="S719" s="1183"/>
      <c r="T719" s="1178">
        <f t="shared" si="34"/>
        <v>0</v>
      </c>
      <c r="U719" s="1179"/>
      <c r="V719" s="1179"/>
      <c r="W719" s="1179"/>
      <c r="X719" s="1180"/>
      <c r="Y719" s="1181"/>
      <c r="Z719" s="1182"/>
      <c r="AA719" s="1182"/>
      <c r="AB719" s="1183"/>
      <c r="AC719" s="1178">
        <f t="shared" si="35"/>
        <v>0</v>
      </c>
      <c r="AD719" s="1179"/>
      <c r="AE719" s="1179"/>
      <c r="AF719" s="1179"/>
      <c r="AG719" s="1180"/>
      <c r="AH719" s="1303"/>
      <c r="AI719" s="1304"/>
      <c r="AJ719" s="1304"/>
      <c r="AK719" s="1304"/>
      <c r="AL719" s="1305"/>
      <c r="AM719" s="1275" t="str">
        <f t="shared" si="43"/>
        <v/>
      </c>
      <c r="AN719" s="1276"/>
      <c r="AO719" s="1277"/>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96"/>
      <c r="C720" s="1397"/>
      <c r="D720" s="1397"/>
      <c r="E720" s="1397"/>
      <c r="F720" s="1424"/>
      <c r="G720" s="1425"/>
      <c r="H720" s="1426"/>
      <c r="I720" s="1426"/>
      <c r="J720" s="1427"/>
      <c r="K720" s="1299"/>
      <c r="L720" s="1300"/>
      <c r="M720" s="1300"/>
      <c r="N720" s="1301"/>
      <c r="O720" s="1181"/>
      <c r="P720" s="1182"/>
      <c r="Q720" s="1182"/>
      <c r="R720" s="1182"/>
      <c r="S720" s="1183"/>
      <c r="T720" s="1178">
        <f t="shared" si="34"/>
        <v>0</v>
      </c>
      <c r="U720" s="1179"/>
      <c r="V720" s="1179"/>
      <c r="W720" s="1179"/>
      <c r="X720" s="1180"/>
      <c r="Y720" s="1181"/>
      <c r="Z720" s="1182"/>
      <c r="AA720" s="1182"/>
      <c r="AB720" s="1183"/>
      <c r="AC720" s="1178">
        <f t="shared" si="35"/>
        <v>0</v>
      </c>
      <c r="AD720" s="1179"/>
      <c r="AE720" s="1179"/>
      <c r="AF720" s="1179"/>
      <c r="AG720" s="1180"/>
      <c r="AH720" s="1303"/>
      <c r="AI720" s="1304"/>
      <c r="AJ720" s="1304"/>
      <c r="AK720" s="1304"/>
      <c r="AL720" s="1305"/>
      <c r="AM720" s="1275" t="str">
        <f t="shared" si="43"/>
        <v/>
      </c>
      <c r="AN720" s="1276"/>
      <c r="AO720" s="1277"/>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96"/>
      <c r="C721" s="1397"/>
      <c r="D721" s="1397"/>
      <c r="E721" s="1397"/>
      <c r="F721" s="1424"/>
      <c r="G721" s="1425"/>
      <c r="H721" s="1426"/>
      <c r="I721" s="1426"/>
      <c r="J721" s="1427"/>
      <c r="K721" s="1299"/>
      <c r="L721" s="1300"/>
      <c r="M721" s="1300"/>
      <c r="N721" s="1301"/>
      <c r="O721" s="1181"/>
      <c r="P721" s="1182"/>
      <c r="Q721" s="1182"/>
      <c r="R721" s="1182"/>
      <c r="S721" s="1183"/>
      <c r="T721" s="1178">
        <f t="shared" si="34"/>
        <v>0</v>
      </c>
      <c r="U721" s="1179"/>
      <c r="V721" s="1179"/>
      <c r="W721" s="1179"/>
      <c r="X721" s="1180"/>
      <c r="Y721" s="1181"/>
      <c r="Z721" s="1182"/>
      <c r="AA721" s="1182"/>
      <c r="AB721" s="1183"/>
      <c r="AC721" s="1178">
        <f t="shared" si="35"/>
        <v>0</v>
      </c>
      <c r="AD721" s="1179"/>
      <c r="AE721" s="1179"/>
      <c r="AF721" s="1179"/>
      <c r="AG721" s="1180"/>
      <c r="AH721" s="1303"/>
      <c r="AI721" s="1304"/>
      <c r="AJ721" s="1304"/>
      <c r="AK721" s="1304"/>
      <c r="AL721" s="1305"/>
      <c r="AM721" s="1275" t="str">
        <f t="shared" si="43"/>
        <v/>
      </c>
      <c r="AN721" s="1276"/>
      <c r="AO721" s="1277"/>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96"/>
      <c r="C722" s="1397"/>
      <c r="D722" s="1397"/>
      <c r="E722" s="1397"/>
      <c r="F722" s="1424"/>
      <c r="G722" s="1425"/>
      <c r="H722" s="1426"/>
      <c r="I722" s="1426"/>
      <c r="J722" s="1427"/>
      <c r="K722" s="1299"/>
      <c r="L722" s="1300"/>
      <c r="M722" s="1300"/>
      <c r="N722" s="1301"/>
      <c r="O722" s="1181"/>
      <c r="P722" s="1182"/>
      <c r="Q722" s="1182"/>
      <c r="R722" s="1182"/>
      <c r="S722" s="1183"/>
      <c r="T722" s="1178">
        <f t="shared" si="34"/>
        <v>0</v>
      </c>
      <c r="U722" s="1179"/>
      <c r="V722" s="1179"/>
      <c r="W722" s="1179"/>
      <c r="X722" s="1180"/>
      <c r="Y722" s="1181"/>
      <c r="Z722" s="1182"/>
      <c r="AA722" s="1182"/>
      <c r="AB722" s="1183"/>
      <c r="AC722" s="1178">
        <f t="shared" si="35"/>
        <v>0</v>
      </c>
      <c r="AD722" s="1179"/>
      <c r="AE722" s="1179"/>
      <c r="AF722" s="1179"/>
      <c r="AG722" s="1180"/>
      <c r="AH722" s="1303"/>
      <c r="AI722" s="1304"/>
      <c r="AJ722" s="1304"/>
      <c r="AK722" s="1304"/>
      <c r="AL722" s="1305"/>
      <c r="AM722" s="1275" t="str">
        <f t="shared" si="43"/>
        <v/>
      </c>
      <c r="AN722" s="1276"/>
      <c r="AO722" s="1277"/>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96"/>
      <c r="C723" s="1397"/>
      <c r="D723" s="1397"/>
      <c r="E723" s="1397"/>
      <c r="F723" s="1424"/>
      <c r="G723" s="1425"/>
      <c r="H723" s="1426"/>
      <c r="I723" s="1426"/>
      <c r="J723" s="1427"/>
      <c r="K723" s="1299"/>
      <c r="L723" s="1300"/>
      <c r="M723" s="1300"/>
      <c r="N723" s="1301"/>
      <c r="O723" s="1181"/>
      <c r="P723" s="1182"/>
      <c r="Q723" s="1182"/>
      <c r="R723" s="1182"/>
      <c r="S723" s="1183"/>
      <c r="T723" s="1178">
        <f t="shared" si="34"/>
        <v>0</v>
      </c>
      <c r="U723" s="1179"/>
      <c r="V723" s="1179"/>
      <c r="W723" s="1179"/>
      <c r="X723" s="1180"/>
      <c r="Y723" s="1181"/>
      <c r="Z723" s="1182"/>
      <c r="AA723" s="1182"/>
      <c r="AB723" s="1183"/>
      <c r="AC723" s="1178">
        <f t="shared" si="35"/>
        <v>0</v>
      </c>
      <c r="AD723" s="1179"/>
      <c r="AE723" s="1179"/>
      <c r="AF723" s="1179"/>
      <c r="AG723" s="1180"/>
      <c r="AH723" s="1303"/>
      <c r="AI723" s="1304"/>
      <c r="AJ723" s="1304"/>
      <c r="AK723" s="1304"/>
      <c r="AL723" s="1305"/>
      <c r="AM723" s="1275" t="str">
        <f t="shared" si="43"/>
        <v/>
      </c>
      <c r="AN723" s="1276"/>
      <c r="AO723" s="1277"/>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96"/>
      <c r="C724" s="1397"/>
      <c r="D724" s="1397"/>
      <c r="E724" s="1397"/>
      <c r="F724" s="1424"/>
      <c r="G724" s="1425"/>
      <c r="H724" s="1426"/>
      <c r="I724" s="1426"/>
      <c r="J724" s="1427"/>
      <c r="K724" s="1299"/>
      <c r="L724" s="1300"/>
      <c r="M724" s="1300"/>
      <c r="N724" s="1301"/>
      <c r="O724" s="1181"/>
      <c r="P724" s="1182"/>
      <c r="Q724" s="1182"/>
      <c r="R724" s="1182"/>
      <c r="S724" s="1183"/>
      <c r="T724" s="1178">
        <f t="shared" si="34"/>
        <v>0</v>
      </c>
      <c r="U724" s="1179"/>
      <c r="V724" s="1179"/>
      <c r="W724" s="1179"/>
      <c r="X724" s="1180"/>
      <c r="Y724" s="1181"/>
      <c r="Z724" s="1182"/>
      <c r="AA724" s="1182"/>
      <c r="AB724" s="1183"/>
      <c r="AC724" s="1178">
        <f t="shared" si="35"/>
        <v>0</v>
      </c>
      <c r="AD724" s="1179"/>
      <c r="AE724" s="1179"/>
      <c r="AF724" s="1179"/>
      <c r="AG724" s="1180"/>
      <c r="AH724" s="1303"/>
      <c r="AI724" s="1304"/>
      <c r="AJ724" s="1304"/>
      <c r="AK724" s="1304"/>
      <c r="AL724" s="1305"/>
      <c r="AM724" s="1275" t="str">
        <f t="shared" si="43"/>
        <v/>
      </c>
      <c r="AN724" s="1276"/>
      <c r="AO724" s="1277"/>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96"/>
      <c r="C725" s="1397"/>
      <c r="D725" s="1397"/>
      <c r="E725" s="1397"/>
      <c r="F725" s="1424"/>
      <c r="G725" s="1425"/>
      <c r="H725" s="1426"/>
      <c r="I725" s="1426"/>
      <c r="J725" s="1427"/>
      <c r="K725" s="1299"/>
      <c r="L725" s="1300"/>
      <c r="M725" s="1300"/>
      <c r="N725" s="1301"/>
      <c r="O725" s="1181"/>
      <c r="P725" s="1182"/>
      <c r="Q725" s="1182"/>
      <c r="R725" s="1182"/>
      <c r="S725" s="1183"/>
      <c r="T725" s="1178">
        <f t="shared" si="34"/>
        <v>0</v>
      </c>
      <c r="U725" s="1179"/>
      <c r="V725" s="1179"/>
      <c r="W725" s="1179"/>
      <c r="X725" s="1180"/>
      <c r="Y725" s="1181"/>
      <c r="Z725" s="1182"/>
      <c r="AA725" s="1182"/>
      <c r="AB725" s="1183"/>
      <c r="AC725" s="1178">
        <f t="shared" si="35"/>
        <v>0</v>
      </c>
      <c r="AD725" s="1179"/>
      <c r="AE725" s="1179"/>
      <c r="AF725" s="1179"/>
      <c r="AG725" s="1180"/>
      <c r="AH725" s="1303"/>
      <c r="AI725" s="1304"/>
      <c r="AJ725" s="1304"/>
      <c r="AK725" s="1304"/>
      <c r="AL725" s="1305"/>
      <c r="AM725" s="1275" t="str">
        <f t="shared" si="43"/>
        <v/>
      </c>
      <c r="AN725" s="1276"/>
      <c r="AO725" s="1277"/>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96"/>
      <c r="C726" s="1397"/>
      <c r="D726" s="1397"/>
      <c r="E726" s="1397"/>
      <c r="F726" s="1424"/>
      <c r="G726" s="1425"/>
      <c r="H726" s="1426"/>
      <c r="I726" s="1426"/>
      <c r="J726" s="1427"/>
      <c r="K726" s="1299"/>
      <c r="L726" s="1300"/>
      <c r="M726" s="1300"/>
      <c r="N726" s="1301"/>
      <c r="O726" s="1181"/>
      <c r="P726" s="1182"/>
      <c r="Q726" s="1182"/>
      <c r="R726" s="1182"/>
      <c r="S726" s="1183"/>
      <c r="T726" s="1178">
        <f t="shared" si="34"/>
        <v>0</v>
      </c>
      <c r="U726" s="1179"/>
      <c r="V726" s="1179"/>
      <c r="W726" s="1179"/>
      <c r="X726" s="1180"/>
      <c r="Y726" s="1181"/>
      <c r="Z726" s="1182"/>
      <c r="AA726" s="1182"/>
      <c r="AB726" s="1183"/>
      <c r="AC726" s="1178">
        <f t="shared" si="35"/>
        <v>0</v>
      </c>
      <c r="AD726" s="1179"/>
      <c r="AE726" s="1179"/>
      <c r="AF726" s="1179"/>
      <c r="AG726" s="1180"/>
      <c r="AH726" s="1303"/>
      <c r="AI726" s="1304"/>
      <c r="AJ726" s="1304"/>
      <c r="AK726" s="1304"/>
      <c r="AL726" s="1305"/>
      <c r="AM726" s="1275" t="str">
        <f t="shared" si="43"/>
        <v/>
      </c>
      <c r="AN726" s="1276"/>
      <c r="AO726" s="1277"/>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96"/>
      <c r="C727" s="1397"/>
      <c r="D727" s="1397"/>
      <c r="E727" s="1397"/>
      <c r="F727" s="1424"/>
      <c r="G727" s="1425"/>
      <c r="H727" s="1426"/>
      <c r="I727" s="1426"/>
      <c r="J727" s="1427"/>
      <c r="K727" s="1299"/>
      <c r="L727" s="1300"/>
      <c r="M727" s="1300"/>
      <c r="N727" s="1301"/>
      <c r="O727" s="1181"/>
      <c r="P727" s="1182"/>
      <c r="Q727" s="1182"/>
      <c r="R727" s="1182"/>
      <c r="S727" s="1183"/>
      <c r="T727" s="1178">
        <f t="shared" ref="T727:T736" si="44">G727*O727</f>
        <v>0</v>
      </c>
      <c r="U727" s="1179"/>
      <c r="V727" s="1179"/>
      <c r="W727" s="1179"/>
      <c r="X727" s="1180"/>
      <c r="Y727" s="1181"/>
      <c r="Z727" s="1182"/>
      <c r="AA727" s="1182"/>
      <c r="AB727" s="1183"/>
      <c r="AC727" s="1178">
        <f t="shared" ref="AC727:AC736" si="45">O727+Y727</f>
        <v>0</v>
      </c>
      <c r="AD727" s="1179"/>
      <c r="AE727" s="1179"/>
      <c r="AF727" s="1179"/>
      <c r="AG727" s="1180"/>
      <c r="AH727" s="1303"/>
      <c r="AI727" s="1304"/>
      <c r="AJ727" s="1304"/>
      <c r="AK727" s="1304"/>
      <c r="AL727" s="1305"/>
      <c r="AM727" s="1275" t="str">
        <f t="shared" ref="AM727:AM736" si="46">IF($AH727&gt;0,($AC727/$AV727), "")</f>
        <v/>
      </c>
      <c r="AN727" s="1276"/>
      <c r="AO727" s="1277"/>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96"/>
      <c r="C728" s="1397"/>
      <c r="D728" s="1397"/>
      <c r="E728" s="1397"/>
      <c r="F728" s="1424"/>
      <c r="G728" s="1425"/>
      <c r="H728" s="1426"/>
      <c r="I728" s="1426"/>
      <c r="J728" s="1427"/>
      <c r="K728" s="1299"/>
      <c r="L728" s="1300"/>
      <c r="M728" s="1300"/>
      <c r="N728" s="1301"/>
      <c r="O728" s="1181"/>
      <c r="P728" s="1182"/>
      <c r="Q728" s="1182"/>
      <c r="R728" s="1182"/>
      <c r="S728" s="1183"/>
      <c r="T728" s="1178">
        <f t="shared" si="44"/>
        <v>0</v>
      </c>
      <c r="U728" s="1179"/>
      <c r="V728" s="1179"/>
      <c r="W728" s="1179"/>
      <c r="X728" s="1180"/>
      <c r="Y728" s="1181"/>
      <c r="Z728" s="1182"/>
      <c r="AA728" s="1182"/>
      <c r="AB728" s="1183"/>
      <c r="AC728" s="1178">
        <f t="shared" si="45"/>
        <v>0</v>
      </c>
      <c r="AD728" s="1179"/>
      <c r="AE728" s="1179"/>
      <c r="AF728" s="1179"/>
      <c r="AG728" s="1180"/>
      <c r="AH728" s="1303"/>
      <c r="AI728" s="1304"/>
      <c r="AJ728" s="1304"/>
      <c r="AK728" s="1304"/>
      <c r="AL728" s="1305"/>
      <c r="AM728" s="1275" t="str">
        <f t="shared" si="46"/>
        <v/>
      </c>
      <c r="AN728" s="1276"/>
      <c r="AO728" s="1277"/>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96"/>
      <c r="C729" s="1397"/>
      <c r="D729" s="1397"/>
      <c r="E729" s="1397"/>
      <c r="F729" s="1424"/>
      <c r="G729" s="1425"/>
      <c r="H729" s="1426"/>
      <c r="I729" s="1426"/>
      <c r="J729" s="1427"/>
      <c r="K729" s="1299"/>
      <c r="L729" s="1300"/>
      <c r="M729" s="1300"/>
      <c r="N729" s="1301"/>
      <c r="O729" s="1181"/>
      <c r="P729" s="1182"/>
      <c r="Q729" s="1182"/>
      <c r="R729" s="1182"/>
      <c r="S729" s="1183"/>
      <c r="T729" s="1178">
        <f t="shared" si="44"/>
        <v>0</v>
      </c>
      <c r="U729" s="1179"/>
      <c r="V729" s="1179"/>
      <c r="W729" s="1179"/>
      <c r="X729" s="1180"/>
      <c r="Y729" s="1181"/>
      <c r="Z729" s="1182"/>
      <c r="AA729" s="1182"/>
      <c r="AB729" s="1183"/>
      <c r="AC729" s="1178">
        <f t="shared" si="45"/>
        <v>0</v>
      </c>
      <c r="AD729" s="1179"/>
      <c r="AE729" s="1179"/>
      <c r="AF729" s="1179"/>
      <c r="AG729" s="1180"/>
      <c r="AH729" s="1303"/>
      <c r="AI729" s="1304"/>
      <c r="AJ729" s="1304"/>
      <c r="AK729" s="1304"/>
      <c r="AL729" s="1305"/>
      <c r="AM729" s="1275" t="str">
        <f t="shared" si="46"/>
        <v/>
      </c>
      <c r="AN729" s="1276"/>
      <c r="AO729" s="1277"/>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96"/>
      <c r="C730" s="1397"/>
      <c r="D730" s="1397"/>
      <c r="E730" s="1397"/>
      <c r="F730" s="1424"/>
      <c r="G730" s="1425"/>
      <c r="H730" s="1426"/>
      <c r="I730" s="1426"/>
      <c r="J730" s="1427"/>
      <c r="K730" s="1299"/>
      <c r="L730" s="1300"/>
      <c r="M730" s="1300"/>
      <c r="N730" s="1301"/>
      <c r="O730" s="1181"/>
      <c r="P730" s="1182"/>
      <c r="Q730" s="1182"/>
      <c r="R730" s="1182"/>
      <c r="S730" s="1183"/>
      <c r="T730" s="1178">
        <f t="shared" si="44"/>
        <v>0</v>
      </c>
      <c r="U730" s="1179"/>
      <c r="V730" s="1179"/>
      <c r="W730" s="1179"/>
      <c r="X730" s="1180"/>
      <c r="Y730" s="1181"/>
      <c r="Z730" s="1182"/>
      <c r="AA730" s="1182"/>
      <c r="AB730" s="1183"/>
      <c r="AC730" s="1178">
        <f t="shared" si="45"/>
        <v>0</v>
      </c>
      <c r="AD730" s="1179"/>
      <c r="AE730" s="1179"/>
      <c r="AF730" s="1179"/>
      <c r="AG730" s="1180"/>
      <c r="AH730" s="1303"/>
      <c r="AI730" s="1304"/>
      <c r="AJ730" s="1304"/>
      <c r="AK730" s="1304"/>
      <c r="AL730" s="1305"/>
      <c r="AM730" s="1275" t="str">
        <f t="shared" si="46"/>
        <v/>
      </c>
      <c r="AN730" s="1276"/>
      <c r="AO730" s="1277"/>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96"/>
      <c r="C731" s="1397"/>
      <c r="D731" s="1397"/>
      <c r="E731" s="1397"/>
      <c r="F731" s="1424"/>
      <c r="G731" s="1425"/>
      <c r="H731" s="1426"/>
      <c r="I731" s="1426"/>
      <c r="J731" s="1427"/>
      <c r="K731" s="1299"/>
      <c r="L731" s="1300"/>
      <c r="M731" s="1300"/>
      <c r="N731" s="1301"/>
      <c r="O731" s="1181"/>
      <c r="P731" s="1182"/>
      <c r="Q731" s="1182"/>
      <c r="R731" s="1182"/>
      <c r="S731" s="1183"/>
      <c r="T731" s="1178">
        <f t="shared" si="44"/>
        <v>0</v>
      </c>
      <c r="U731" s="1179"/>
      <c r="V731" s="1179"/>
      <c r="W731" s="1179"/>
      <c r="X731" s="1180"/>
      <c r="Y731" s="1181"/>
      <c r="Z731" s="1182"/>
      <c r="AA731" s="1182"/>
      <c r="AB731" s="1183"/>
      <c r="AC731" s="1178">
        <f t="shared" si="45"/>
        <v>0</v>
      </c>
      <c r="AD731" s="1179"/>
      <c r="AE731" s="1179"/>
      <c r="AF731" s="1179"/>
      <c r="AG731" s="1180"/>
      <c r="AH731" s="1303"/>
      <c r="AI731" s="1304"/>
      <c r="AJ731" s="1304"/>
      <c r="AK731" s="1304"/>
      <c r="AL731" s="1305"/>
      <c r="AM731" s="1275" t="str">
        <f t="shared" si="46"/>
        <v/>
      </c>
      <c r="AN731" s="1276"/>
      <c r="AO731" s="1277"/>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96"/>
      <c r="C732" s="1397"/>
      <c r="D732" s="1397"/>
      <c r="E732" s="1397"/>
      <c r="F732" s="1424"/>
      <c r="G732" s="1425"/>
      <c r="H732" s="1426"/>
      <c r="I732" s="1426"/>
      <c r="J732" s="1427"/>
      <c r="K732" s="1299"/>
      <c r="L732" s="1300"/>
      <c r="M732" s="1300"/>
      <c r="N732" s="1301"/>
      <c r="O732" s="1181"/>
      <c r="P732" s="1182"/>
      <c r="Q732" s="1182"/>
      <c r="R732" s="1182"/>
      <c r="S732" s="1183"/>
      <c r="T732" s="1178">
        <f t="shared" si="44"/>
        <v>0</v>
      </c>
      <c r="U732" s="1179"/>
      <c r="V732" s="1179"/>
      <c r="W732" s="1179"/>
      <c r="X732" s="1180"/>
      <c r="Y732" s="1181"/>
      <c r="Z732" s="1182"/>
      <c r="AA732" s="1182"/>
      <c r="AB732" s="1183"/>
      <c r="AC732" s="1178">
        <f t="shared" si="45"/>
        <v>0</v>
      </c>
      <c r="AD732" s="1179"/>
      <c r="AE732" s="1179"/>
      <c r="AF732" s="1179"/>
      <c r="AG732" s="1180"/>
      <c r="AH732" s="1303"/>
      <c r="AI732" s="1304"/>
      <c r="AJ732" s="1304"/>
      <c r="AK732" s="1304"/>
      <c r="AL732" s="1305"/>
      <c r="AM732" s="1275" t="str">
        <f t="shared" si="46"/>
        <v/>
      </c>
      <c r="AN732" s="1276"/>
      <c r="AO732" s="1277"/>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96"/>
      <c r="C733" s="1397"/>
      <c r="D733" s="1397"/>
      <c r="E733" s="1397"/>
      <c r="F733" s="1424"/>
      <c r="G733" s="1425"/>
      <c r="H733" s="1426"/>
      <c r="I733" s="1426"/>
      <c r="J733" s="1427"/>
      <c r="K733" s="1299"/>
      <c r="L733" s="1300"/>
      <c r="M733" s="1300"/>
      <c r="N733" s="1301"/>
      <c r="O733" s="1181"/>
      <c r="P733" s="1182"/>
      <c r="Q733" s="1182"/>
      <c r="R733" s="1182"/>
      <c r="S733" s="1183"/>
      <c r="T733" s="1178">
        <f t="shared" si="44"/>
        <v>0</v>
      </c>
      <c r="U733" s="1179"/>
      <c r="V733" s="1179"/>
      <c r="W733" s="1179"/>
      <c r="X733" s="1180"/>
      <c r="Y733" s="1181"/>
      <c r="Z733" s="1182"/>
      <c r="AA733" s="1182"/>
      <c r="AB733" s="1183"/>
      <c r="AC733" s="1178">
        <f t="shared" si="45"/>
        <v>0</v>
      </c>
      <c r="AD733" s="1179"/>
      <c r="AE733" s="1179"/>
      <c r="AF733" s="1179"/>
      <c r="AG733" s="1180"/>
      <c r="AH733" s="1303"/>
      <c r="AI733" s="1304"/>
      <c r="AJ733" s="1304"/>
      <c r="AK733" s="1304"/>
      <c r="AL733" s="1305"/>
      <c r="AM733" s="1275" t="str">
        <f t="shared" si="46"/>
        <v/>
      </c>
      <c r="AN733" s="1276"/>
      <c r="AO733" s="1277"/>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96"/>
      <c r="C734" s="1397"/>
      <c r="D734" s="1397"/>
      <c r="E734" s="1397"/>
      <c r="F734" s="1424"/>
      <c r="G734" s="1425"/>
      <c r="H734" s="1426"/>
      <c r="I734" s="1426"/>
      <c r="J734" s="1427"/>
      <c r="K734" s="1299"/>
      <c r="L734" s="1300"/>
      <c r="M734" s="1300"/>
      <c r="N734" s="1301"/>
      <c r="O734" s="1181"/>
      <c r="P734" s="1182"/>
      <c r="Q734" s="1182"/>
      <c r="R734" s="1182"/>
      <c r="S734" s="1183"/>
      <c r="T734" s="1178">
        <f t="shared" si="44"/>
        <v>0</v>
      </c>
      <c r="U734" s="1179"/>
      <c r="V734" s="1179"/>
      <c r="W734" s="1179"/>
      <c r="X734" s="1180"/>
      <c r="Y734" s="1181"/>
      <c r="Z734" s="1182"/>
      <c r="AA734" s="1182"/>
      <c r="AB734" s="1183"/>
      <c r="AC734" s="1178">
        <f t="shared" si="45"/>
        <v>0</v>
      </c>
      <c r="AD734" s="1179"/>
      <c r="AE734" s="1179"/>
      <c r="AF734" s="1179"/>
      <c r="AG734" s="1180"/>
      <c r="AH734" s="1303"/>
      <c r="AI734" s="1304"/>
      <c r="AJ734" s="1304"/>
      <c r="AK734" s="1304"/>
      <c r="AL734" s="1305"/>
      <c r="AM734" s="1275" t="str">
        <f t="shared" si="46"/>
        <v/>
      </c>
      <c r="AN734" s="1276"/>
      <c r="AO734" s="1277"/>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96"/>
      <c r="C735" s="1397"/>
      <c r="D735" s="1397"/>
      <c r="E735" s="1397"/>
      <c r="F735" s="1424"/>
      <c r="G735" s="1425"/>
      <c r="H735" s="1426"/>
      <c r="I735" s="1426"/>
      <c r="J735" s="1427"/>
      <c r="K735" s="1299"/>
      <c r="L735" s="1300"/>
      <c r="M735" s="1300"/>
      <c r="N735" s="1301"/>
      <c r="O735" s="1181"/>
      <c r="P735" s="1182"/>
      <c r="Q735" s="1182"/>
      <c r="R735" s="1182"/>
      <c r="S735" s="1183"/>
      <c r="T735" s="1178">
        <f t="shared" si="44"/>
        <v>0</v>
      </c>
      <c r="U735" s="1179"/>
      <c r="V735" s="1179"/>
      <c r="W735" s="1179"/>
      <c r="X735" s="1180"/>
      <c r="Y735" s="1181"/>
      <c r="Z735" s="1182"/>
      <c r="AA735" s="1182"/>
      <c r="AB735" s="1183"/>
      <c r="AC735" s="1178">
        <f t="shared" si="45"/>
        <v>0</v>
      </c>
      <c r="AD735" s="1179"/>
      <c r="AE735" s="1179"/>
      <c r="AF735" s="1179"/>
      <c r="AG735" s="1180"/>
      <c r="AH735" s="1303"/>
      <c r="AI735" s="1304"/>
      <c r="AJ735" s="1304"/>
      <c r="AK735" s="1304"/>
      <c r="AL735" s="1305"/>
      <c r="AM735" s="1275" t="str">
        <f t="shared" si="46"/>
        <v/>
      </c>
      <c r="AN735" s="1276"/>
      <c r="AO735" s="1277"/>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96"/>
      <c r="C736" s="1397"/>
      <c r="D736" s="1397"/>
      <c r="E736" s="1397"/>
      <c r="F736" s="1424"/>
      <c r="G736" s="1425"/>
      <c r="H736" s="1426"/>
      <c r="I736" s="1426"/>
      <c r="J736" s="1427"/>
      <c r="K736" s="1299"/>
      <c r="L736" s="1300"/>
      <c r="M736" s="1300"/>
      <c r="N736" s="1301"/>
      <c r="O736" s="1181"/>
      <c r="P736" s="1182"/>
      <c r="Q736" s="1182"/>
      <c r="R736" s="1182"/>
      <c r="S736" s="1183"/>
      <c r="T736" s="1178">
        <f t="shared" si="44"/>
        <v>0</v>
      </c>
      <c r="U736" s="1179"/>
      <c r="V736" s="1179"/>
      <c r="W736" s="1179"/>
      <c r="X736" s="1180"/>
      <c r="Y736" s="1181"/>
      <c r="Z736" s="1182"/>
      <c r="AA736" s="1182"/>
      <c r="AB736" s="1183"/>
      <c r="AC736" s="1178">
        <f t="shared" si="45"/>
        <v>0</v>
      </c>
      <c r="AD736" s="1179"/>
      <c r="AE736" s="1179"/>
      <c r="AF736" s="1179"/>
      <c r="AG736" s="1180"/>
      <c r="AH736" s="1303"/>
      <c r="AI736" s="1304"/>
      <c r="AJ736" s="1304"/>
      <c r="AK736" s="1304"/>
      <c r="AL736" s="1305"/>
      <c r="AM736" s="1275" t="str">
        <f t="shared" si="46"/>
        <v/>
      </c>
      <c r="AN736" s="1276"/>
      <c r="AO736" s="1277"/>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96"/>
      <c r="C737" s="1397"/>
      <c r="D737" s="1397"/>
      <c r="E737" s="1397"/>
      <c r="F737" s="1424"/>
      <c r="G737" s="1425"/>
      <c r="H737" s="1426"/>
      <c r="I737" s="1426"/>
      <c r="J737" s="1427"/>
      <c r="K737" s="1299"/>
      <c r="L737" s="1300"/>
      <c r="M737" s="1300"/>
      <c r="N737" s="1301"/>
      <c r="O737" s="1181"/>
      <c r="P737" s="1182"/>
      <c r="Q737" s="1182"/>
      <c r="R737" s="1182"/>
      <c r="S737" s="1183"/>
      <c r="T737" s="1178">
        <f t="shared" si="34"/>
        <v>0</v>
      </c>
      <c r="U737" s="1179"/>
      <c r="V737" s="1179"/>
      <c r="W737" s="1179"/>
      <c r="X737" s="1180"/>
      <c r="Y737" s="1181"/>
      <c r="Z737" s="1182"/>
      <c r="AA737" s="1182"/>
      <c r="AB737" s="1183"/>
      <c r="AC737" s="1178">
        <f t="shared" si="35"/>
        <v>0</v>
      </c>
      <c r="AD737" s="1179"/>
      <c r="AE737" s="1179"/>
      <c r="AF737" s="1179"/>
      <c r="AG737" s="1180"/>
      <c r="AH737" s="1303"/>
      <c r="AI737" s="1304"/>
      <c r="AJ737" s="1304"/>
      <c r="AK737" s="1304"/>
      <c r="AL737" s="1305"/>
      <c r="AM737" s="1275" t="str">
        <f>IF($AH737&gt;0,($AC737/$AV737), "")</f>
        <v/>
      </c>
      <c r="AN737" s="1276"/>
      <c r="AO737" s="1277"/>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225" t="s">
        <v>877</v>
      </c>
      <c r="C738" s="1226"/>
      <c r="D738" s="1226"/>
      <c r="E738" s="1226"/>
      <c r="F738" s="1227"/>
      <c r="G738" s="1533">
        <f>SUM(G703:J737)</f>
        <v>49</v>
      </c>
      <c r="H738" s="1534"/>
      <c r="I738" s="1534"/>
      <c r="J738" s="1535"/>
      <c r="O738" s="427" t="s">
        <v>876</v>
      </c>
      <c r="P738" s="166"/>
      <c r="Q738" s="166"/>
      <c r="R738" s="166"/>
      <c r="S738" s="839"/>
      <c r="T738" s="1178">
        <f>SUM(T703:X737)</f>
        <v>70814</v>
      </c>
      <c r="U738" s="1179"/>
      <c r="V738" s="1179"/>
      <c r="W738" s="1179"/>
      <c r="X738" s="1180"/>
      <c r="AC738" s="840" t="s">
        <v>1139</v>
      </c>
      <c r="AD738" s="841"/>
      <c r="AE738" s="841"/>
      <c r="AF738" s="841"/>
      <c r="AG738" s="842"/>
      <c r="AH738" s="1278">
        <f>BA738</f>
        <v>0.42653061224489797</v>
      </c>
      <c r="AI738" s="1279"/>
      <c r="AJ738" s="1279"/>
      <c r="AK738" s="1279"/>
      <c r="AL738" s="1280"/>
      <c r="AM738" s="1278">
        <f>IFERROR(BG738,0)</f>
        <v>0.42653769135878972</v>
      </c>
      <c r="AN738" s="1279"/>
      <c r="AO738" s="1280"/>
      <c r="AX738" s="62" t="s">
        <v>875</v>
      </c>
      <c r="AY738" s="451">
        <f>SUM(AY703:AY737)</f>
        <v>49</v>
      </c>
      <c r="AZ738" s="452">
        <f>SUM(AZ703:AZ737)</f>
        <v>0.99999999999999989</v>
      </c>
      <c r="BA738" s="452">
        <f>SUM(BA703:BA737)</f>
        <v>0.42653061224489797</v>
      </c>
      <c r="BB738" s="41"/>
      <c r="BC738" s="41"/>
      <c r="BD738" s="41"/>
      <c r="BE738" s="849">
        <f>SUM(BE703:BE737)</f>
        <v>49</v>
      </c>
      <c r="BF738" s="850">
        <f>SUM(BF703:BF737)</f>
        <v>0.99999999999999989</v>
      </c>
      <c r="BG738" s="850">
        <f>SUM(BG703:BG737)</f>
        <v>0.42653769135878972</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94" t="s">
        <v>2047</v>
      </c>
      <c r="D739" s="1494"/>
      <c r="E739" s="1494"/>
      <c r="F739" s="1494"/>
      <c r="G739" s="1494"/>
      <c r="H739" s="1494"/>
      <c r="I739" s="1494"/>
      <c r="J739" s="1494"/>
      <c r="K739" s="1494"/>
      <c r="L739" s="1494"/>
      <c r="M739" s="1494"/>
      <c r="N739" s="1494"/>
      <c r="O739" s="1494"/>
      <c r="P739" s="1494"/>
      <c r="Q739" s="1494"/>
      <c r="R739" s="1494"/>
      <c r="S739" s="1494"/>
      <c r="T739" s="1494"/>
      <c r="U739" s="1494"/>
      <c r="V739" s="1494"/>
      <c r="W739" s="1494"/>
      <c r="X739" s="1494"/>
      <c r="Y739" s="1494"/>
      <c r="Z739" s="1494"/>
      <c r="AA739" s="1494"/>
      <c r="AB739" s="1494"/>
      <c r="AC739" s="1494"/>
      <c r="AD739" s="1494"/>
      <c r="AE739" s="1494"/>
      <c r="AF739" s="1494"/>
      <c r="AG739" s="1494"/>
      <c r="AH739" s="1494"/>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94"/>
      <c r="D740" s="1494"/>
      <c r="E740" s="1494"/>
      <c r="F740" s="1494"/>
      <c r="G740" s="1494"/>
      <c r="H740" s="1494"/>
      <c r="I740" s="1494"/>
      <c r="J740" s="1494"/>
      <c r="K740" s="1494"/>
      <c r="L740" s="1494"/>
      <c r="M740" s="1494"/>
      <c r="N740" s="1494"/>
      <c r="O740" s="1494"/>
      <c r="P740" s="1494"/>
      <c r="Q740" s="1494"/>
      <c r="R740" s="1494"/>
      <c r="S740" s="1494"/>
      <c r="T740" s="1494"/>
      <c r="U740" s="1494"/>
      <c r="V740" s="1494"/>
      <c r="W740" s="1494"/>
      <c r="X740" s="1494"/>
      <c r="Y740" s="1494"/>
      <c r="Z740" s="1494"/>
      <c r="AA740" s="1494"/>
      <c r="AB740" s="1494"/>
      <c r="AC740" s="1494"/>
      <c r="AD740" s="1494"/>
      <c r="AE740" s="1494"/>
      <c r="AF740" s="1494"/>
      <c r="AG740" s="1494"/>
      <c r="AH740" s="1494"/>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544">
        <f>CQ636</f>
        <v>98</v>
      </c>
      <c r="P741" s="1544"/>
      <c r="Q741" s="1544"/>
      <c r="R741" s="1544"/>
      <c r="S741" s="920"/>
      <c r="T741" s="920"/>
      <c r="U741" s="268" t="s">
        <v>2049</v>
      </c>
      <c r="V741" s="918"/>
      <c r="W741" s="918"/>
      <c r="X741" s="918"/>
      <c r="Y741" s="919"/>
      <c r="Z741" s="919"/>
      <c r="AA741" s="919"/>
      <c r="AB741" s="919"/>
      <c r="AC741" s="918"/>
      <c r="AD741" s="918"/>
      <c r="AE741" s="918"/>
      <c r="AF741" s="918"/>
      <c r="AG741" s="1529"/>
      <c r="AH741" s="1529"/>
      <c r="AI741" s="1529"/>
      <c r="AJ741" s="1529"/>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41" t="str">
        <f>IF(G738&lt;&gt;AG441,"! Total Low-Income Units in the Unit Mix Table above does not match the number of Total Low-Income Units on row #"&amp;TEXT(ROW(AG441),"#"),"")</f>
        <v/>
      </c>
      <c r="D742" s="1141"/>
      <c r="E742" s="1141"/>
      <c r="F742" s="1141"/>
      <c r="G742" s="1141"/>
      <c r="H742" s="1141"/>
      <c r="I742" s="1141"/>
      <c r="J742" s="1141"/>
      <c r="K742" s="1141"/>
      <c r="L742" s="1141"/>
      <c r="M742" s="1141"/>
      <c r="N742" s="1141"/>
      <c r="O742" s="1141"/>
      <c r="P742" s="1141"/>
      <c r="Q742" s="1141"/>
      <c r="R742" s="1141"/>
      <c r="S742" s="1141"/>
      <c r="T742" s="1141"/>
      <c r="U742" s="1141"/>
      <c r="V742" s="1141"/>
      <c r="W742" s="1141"/>
      <c r="X742" s="1141"/>
      <c r="Y742" s="1141"/>
      <c r="Z742" s="1141"/>
      <c r="AA742" s="1141"/>
      <c r="AB742" s="1141"/>
      <c r="AC742" s="1141"/>
      <c r="AD742" s="1141"/>
      <c r="AE742" s="1141"/>
      <c r="AF742" s="1141"/>
      <c r="AG742" s="1141"/>
      <c r="AH742" s="1141"/>
      <c r="AI742" s="1141"/>
      <c r="AJ742" s="1141"/>
      <c r="AK742" s="1141"/>
      <c r="AL742" s="1141"/>
      <c r="AM742" s="1141"/>
      <c r="AN742" s="1141"/>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41"/>
      <c r="D743" s="1141"/>
      <c r="E743" s="1141"/>
      <c r="F743" s="1141"/>
      <c r="G743" s="1141"/>
      <c r="H743" s="1141"/>
      <c r="I743" s="1141"/>
      <c r="J743" s="1141"/>
      <c r="K743" s="1141"/>
      <c r="L743" s="1141"/>
      <c r="M743" s="1141"/>
      <c r="N743" s="1141"/>
      <c r="O743" s="1141"/>
      <c r="P743" s="1141"/>
      <c r="Q743" s="1141"/>
      <c r="R743" s="1141"/>
      <c r="S743" s="1141"/>
      <c r="T743" s="1141"/>
      <c r="U743" s="1141"/>
      <c r="V743" s="1141"/>
      <c r="W743" s="1141"/>
      <c r="X743" s="1141"/>
      <c r="Y743" s="1141"/>
      <c r="Z743" s="1141"/>
      <c r="AA743" s="1141"/>
      <c r="AB743" s="1141"/>
      <c r="AC743" s="1141"/>
      <c r="AD743" s="1141"/>
      <c r="AE743" s="1141"/>
      <c r="AF743" s="1141"/>
      <c r="AG743" s="1141"/>
      <c r="AH743" s="1141"/>
      <c r="AI743" s="1141"/>
      <c r="AJ743" s="1141"/>
      <c r="AK743" s="1141"/>
      <c r="AL743" s="1141"/>
      <c r="AM743" s="1141"/>
      <c r="AN743" s="1141"/>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302" t="s">
        <v>124</v>
      </c>
      <c r="AA744" s="1302"/>
      <c r="AB744" s="1302"/>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2" t="s">
        <v>2045</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2" t="s">
        <v>1516</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90" t="s">
        <v>54</v>
      </c>
      <c r="K756" s="1291"/>
      <c r="L756" s="1291"/>
      <c r="M756" s="1291"/>
      <c r="N756" s="1292"/>
      <c r="O756" s="1531" t="s">
        <v>256</v>
      </c>
      <c r="P756" s="1531"/>
      <c r="Q756" s="1531"/>
      <c r="R756" s="1531"/>
      <c r="S756" s="1531"/>
      <c r="T756" s="1281" t="s">
        <v>1981</v>
      </c>
      <c r="U756" s="1282"/>
      <c r="V756" s="1282"/>
      <c r="W756" s="1283"/>
      <c r="X756" s="1290" t="s">
        <v>589</v>
      </c>
      <c r="Y756" s="1291"/>
      <c r="Z756" s="1291"/>
      <c r="AA756" s="1291"/>
      <c r="AB756" s="1292"/>
      <c r="AC756" s="1290" t="s">
        <v>257</v>
      </c>
      <c r="AD756" s="1291"/>
      <c r="AE756" s="1291"/>
      <c r="AF756" s="1291"/>
      <c r="AG756" s="1292"/>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93"/>
      <c r="K757" s="1294"/>
      <c r="L757" s="1294"/>
      <c r="M757" s="1294"/>
      <c r="N757" s="1295"/>
      <c r="O757" s="1531"/>
      <c r="P757" s="1531"/>
      <c r="Q757" s="1531"/>
      <c r="R757" s="1531"/>
      <c r="S757" s="1531"/>
      <c r="T757" s="1284"/>
      <c r="U757" s="1285"/>
      <c r="V757" s="1285"/>
      <c r="W757" s="1286"/>
      <c r="X757" s="1293"/>
      <c r="Y757" s="1294"/>
      <c r="Z757" s="1294"/>
      <c r="AA757" s="1294"/>
      <c r="AB757" s="1295"/>
      <c r="AC757" s="1293"/>
      <c r="AD757" s="1294"/>
      <c r="AE757" s="1294"/>
      <c r="AF757" s="1294"/>
      <c r="AG757" s="1295"/>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93"/>
      <c r="K758" s="1294"/>
      <c r="L758" s="1294"/>
      <c r="M758" s="1294"/>
      <c r="N758" s="1295"/>
      <c r="O758" s="1531"/>
      <c r="P758" s="1531"/>
      <c r="Q758" s="1531"/>
      <c r="R758" s="1531"/>
      <c r="S758" s="1531"/>
      <c r="T758" s="1284"/>
      <c r="U758" s="1285"/>
      <c r="V758" s="1285"/>
      <c r="W758" s="1286"/>
      <c r="X758" s="1293"/>
      <c r="Y758" s="1294"/>
      <c r="Z758" s="1294"/>
      <c r="AA758" s="1294"/>
      <c r="AB758" s="1295"/>
      <c r="AC758" s="1293"/>
      <c r="AD758" s="1294"/>
      <c r="AE758" s="1294"/>
      <c r="AF758" s="1294"/>
      <c r="AG758" s="1295"/>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96"/>
      <c r="K759" s="1297"/>
      <c r="L759" s="1297"/>
      <c r="M759" s="1297"/>
      <c r="N759" s="1298"/>
      <c r="O759" s="1531"/>
      <c r="P759" s="1531"/>
      <c r="Q759" s="1531"/>
      <c r="R759" s="1531"/>
      <c r="S759" s="1531"/>
      <c r="T759" s="1287"/>
      <c r="U759" s="1288"/>
      <c r="V759" s="1288"/>
      <c r="W759" s="1289"/>
      <c r="X759" s="1296"/>
      <c r="Y759" s="1297"/>
      <c r="Z759" s="1297"/>
      <c r="AA759" s="1297"/>
      <c r="AB759" s="1298"/>
      <c r="AC759" s="1296"/>
      <c r="AD759" s="1297"/>
      <c r="AE759" s="1297"/>
      <c r="AF759" s="1297"/>
      <c r="AG759" s="1298"/>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96" t="s">
        <v>780</v>
      </c>
      <c r="K760" s="1397"/>
      <c r="L760" s="1397"/>
      <c r="M760" s="1397"/>
      <c r="N760" s="1424"/>
      <c r="O760" s="1441">
        <v>1</v>
      </c>
      <c r="P760" s="1441"/>
      <c r="Q760" s="1441"/>
      <c r="R760" s="1441"/>
      <c r="S760" s="1441"/>
      <c r="T760" s="1299">
        <v>753</v>
      </c>
      <c r="U760" s="1300"/>
      <c r="V760" s="1300"/>
      <c r="W760" s="1301"/>
      <c r="X760" s="1181"/>
      <c r="Y760" s="1182"/>
      <c r="Z760" s="1182"/>
      <c r="AA760" s="1182"/>
      <c r="AB760" s="1183"/>
      <c r="AC760" s="1178">
        <f>X760*O760</f>
        <v>0</v>
      </c>
      <c r="AD760" s="1179"/>
      <c r="AE760" s="1179"/>
      <c r="AF760" s="1179"/>
      <c r="AG760" s="118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96"/>
      <c r="K761" s="1397"/>
      <c r="L761" s="1397"/>
      <c r="M761" s="1397"/>
      <c r="N761" s="1424"/>
      <c r="O761" s="1441"/>
      <c r="P761" s="1441"/>
      <c r="Q761" s="1441"/>
      <c r="R761" s="1441"/>
      <c r="S761" s="1441"/>
      <c r="T761" s="1299"/>
      <c r="U761" s="1300"/>
      <c r="V761" s="1300"/>
      <c r="W761" s="1301"/>
      <c r="X761" s="1181"/>
      <c r="Y761" s="1182"/>
      <c r="Z761" s="1182"/>
      <c r="AA761" s="1182"/>
      <c r="AB761" s="1183"/>
      <c r="AC761" s="1178">
        <f>X761*O761</f>
        <v>0</v>
      </c>
      <c r="AD761" s="1179"/>
      <c r="AE761" s="1179"/>
      <c r="AF761" s="1179"/>
      <c r="AG761" s="118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96"/>
      <c r="K762" s="1397"/>
      <c r="L762" s="1397"/>
      <c r="M762" s="1397"/>
      <c r="N762" s="1424"/>
      <c r="O762" s="1441"/>
      <c r="P762" s="1441"/>
      <c r="Q762" s="1441"/>
      <c r="R762" s="1441"/>
      <c r="S762" s="1441"/>
      <c r="T762" s="1299"/>
      <c r="U762" s="1300"/>
      <c r="V762" s="1300"/>
      <c r="W762" s="1301"/>
      <c r="X762" s="1181"/>
      <c r="Y762" s="1182"/>
      <c r="Z762" s="1182"/>
      <c r="AA762" s="1182"/>
      <c r="AB762" s="1183"/>
      <c r="AC762" s="1178">
        <f>X762*O762</f>
        <v>0</v>
      </c>
      <c r="AD762" s="1179"/>
      <c r="AE762" s="1179"/>
      <c r="AF762" s="1179"/>
      <c r="AG762" s="118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96"/>
      <c r="K763" s="1397"/>
      <c r="L763" s="1397"/>
      <c r="M763" s="1397"/>
      <c r="N763" s="1424"/>
      <c r="O763" s="1441"/>
      <c r="P763" s="1441"/>
      <c r="Q763" s="1441"/>
      <c r="R763" s="1441"/>
      <c r="S763" s="1441"/>
      <c r="T763" s="1299"/>
      <c r="U763" s="1300"/>
      <c r="V763" s="1300"/>
      <c r="W763" s="1301"/>
      <c r="X763" s="1181"/>
      <c r="Y763" s="1182"/>
      <c r="Z763" s="1182"/>
      <c r="AA763" s="1182"/>
      <c r="AB763" s="1183"/>
      <c r="AC763" s="1178">
        <f>X763*O763</f>
        <v>0</v>
      </c>
      <c r="AD763" s="1179"/>
      <c r="AE763" s="1179"/>
      <c r="AF763" s="1179"/>
      <c r="AG763" s="1180"/>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225" t="s">
        <v>877</v>
      </c>
      <c r="K764" s="1226"/>
      <c r="L764" s="1226"/>
      <c r="M764" s="1226"/>
      <c r="N764" s="1227"/>
      <c r="O764" s="1314">
        <f>SUM(O760:S763)</f>
        <v>1</v>
      </c>
      <c r="P764" s="1315"/>
      <c r="Q764" s="1315"/>
      <c r="R764" s="1315"/>
      <c r="S764" s="1316"/>
      <c r="X764" s="1225" t="s">
        <v>876</v>
      </c>
      <c r="Y764" s="1226"/>
      <c r="Z764" s="1226"/>
      <c r="AA764" s="1226"/>
      <c r="AB764" s="1227"/>
      <c r="AC764" s="1178">
        <f>SUM(AC760:AG763)</f>
        <v>0</v>
      </c>
      <c r="AD764" s="1179"/>
      <c r="AE764" s="1179"/>
      <c r="AF764" s="1179"/>
      <c r="AG764" s="1180"/>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52" t="s">
        <v>482</v>
      </c>
      <c r="K766" s="1152"/>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90" t="s">
        <v>54</v>
      </c>
      <c r="K770" s="1291"/>
      <c r="L770" s="1291"/>
      <c r="M770" s="1291"/>
      <c r="N770" s="1292"/>
      <c r="O770" s="1531" t="s">
        <v>256</v>
      </c>
      <c r="P770" s="1531"/>
      <c r="Q770" s="1531"/>
      <c r="R770" s="1531"/>
      <c r="S770" s="1531"/>
      <c r="T770" s="1281" t="s">
        <v>1981</v>
      </c>
      <c r="U770" s="1282"/>
      <c r="V770" s="1282"/>
      <c r="W770" s="1283"/>
      <c r="X770" s="1290" t="s">
        <v>589</v>
      </c>
      <c r="Y770" s="1291"/>
      <c r="Z770" s="1291"/>
      <c r="AA770" s="1291"/>
      <c r="AB770" s="1292"/>
      <c r="AC770" s="1290" t="s">
        <v>257</v>
      </c>
      <c r="AD770" s="1291"/>
      <c r="AE770" s="1291"/>
      <c r="AF770" s="1291"/>
      <c r="AG770" s="129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93"/>
      <c r="K771" s="1294"/>
      <c r="L771" s="1294"/>
      <c r="M771" s="1294"/>
      <c r="N771" s="1295"/>
      <c r="O771" s="1531"/>
      <c r="P771" s="1531"/>
      <c r="Q771" s="1531"/>
      <c r="R771" s="1531"/>
      <c r="S771" s="1531"/>
      <c r="T771" s="1284"/>
      <c r="U771" s="1285"/>
      <c r="V771" s="1285"/>
      <c r="W771" s="1286"/>
      <c r="X771" s="1293"/>
      <c r="Y771" s="1294"/>
      <c r="Z771" s="1294"/>
      <c r="AA771" s="1294"/>
      <c r="AB771" s="1295"/>
      <c r="AC771" s="1293"/>
      <c r="AD771" s="1294"/>
      <c r="AE771" s="1294"/>
      <c r="AF771" s="1294"/>
      <c r="AG771" s="129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93"/>
      <c r="K772" s="1294"/>
      <c r="L772" s="1294"/>
      <c r="M772" s="1294"/>
      <c r="N772" s="1295"/>
      <c r="O772" s="1531"/>
      <c r="P772" s="1531"/>
      <c r="Q772" s="1531"/>
      <c r="R772" s="1531"/>
      <c r="S772" s="1531"/>
      <c r="T772" s="1284"/>
      <c r="U772" s="1285"/>
      <c r="V772" s="1285"/>
      <c r="W772" s="1286"/>
      <c r="X772" s="1293"/>
      <c r="Y772" s="1294"/>
      <c r="Z772" s="1294"/>
      <c r="AA772" s="1294"/>
      <c r="AB772" s="1295"/>
      <c r="AC772" s="1293"/>
      <c r="AD772" s="1294"/>
      <c r="AE772" s="1294"/>
      <c r="AF772" s="1294"/>
      <c r="AG772" s="129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96"/>
      <c r="K773" s="1297"/>
      <c r="L773" s="1297"/>
      <c r="M773" s="1297"/>
      <c r="N773" s="1298"/>
      <c r="O773" s="1531"/>
      <c r="P773" s="1531"/>
      <c r="Q773" s="1531"/>
      <c r="R773" s="1531"/>
      <c r="S773" s="1531"/>
      <c r="T773" s="1287"/>
      <c r="U773" s="1288"/>
      <c r="V773" s="1288"/>
      <c r="W773" s="1289"/>
      <c r="X773" s="1296"/>
      <c r="Y773" s="1297"/>
      <c r="Z773" s="1297"/>
      <c r="AA773" s="1297"/>
      <c r="AB773" s="1298"/>
      <c r="AC773" s="1296"/>
      <c r="AD773" s="1297"/>
      <c r="AE773" s="1297"/>
      <c r="AF773" s="1297"/>
      <c r="AG773" s="129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96"/>
      <c r="K774" s="1397"/>
      <c r="L774" s="1397"/>
      <c r="M774" s="1397"/>
      <c r="N774" s="1424"/>
      <c r="O774" s="1441"/>
      <c r="P774" s="1441"/>
      <c r="Q774" s="1441"/>
      <c r="R774" s="1441"/>
      <c r="S774" s="1441"/>
      <c r="T774" s="1299"/>
      <c r="U774" s="1300"/>
      <c r="V774" s="1300"/>
      <c r="W774" s="1301"/>
      <c r="X774" s="1181"/>
      <c r="Y774" s="1182"/>
      <c r="Z774" s="1182"/>
      <c r="AA774" s="1182"/>
      <c r="AB774" s="1183"/>
      <c r="AC774" s="1178">
        <f t="shared" ref="AC774:AC783" si="53">X774*O774</f>
        <v>0</v>
      </c>
      <c r="AD774" s="1179"/>
      <c r="AE774" s="1179"/>
      <c r="AF774" s="1179"/>
      <c r="AG774" s="1180"/>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96"/>
      <c r="K775" s="1397"/>
      <c r="L775" s="1397"/>
      <c r="M775" s="1397"/>
      <c r="N775" s="1424"/>
      <c r="O775" s="1441"/>
      <c r="P775" s="1441"/>
      <c r="Q775" s="1441"/>
      <c r="R775" s="1441"/>
      <c r="S775" s="1441"/>
      <c r="T775" s="1299"/>
      <c r="U775" s="1300"/>
      <c r="V775" s="1300"/>
      <c r="W775" s="1301"/>
      <c r="X775" s="1181"/>
      <c r="Y775" s="1182"/>
      <c r="Z775" s="1182"/>
      <c r="AA775" s="1182"/>
      <c r="AB775" s="1183"/>
      <c r="AC775" s="1178">
        <f t="shared" si="53"/>
        <v>0</v>
      </c>
      <c r="AD775" s="1179"/>
      <c r="AE775" s="1179"/>
      <c r="AF775" s="1179"/>
      <c r="AG775" s="1180"/>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96"/>
      <c r="K776" s="1397"/>
      <c r="L776" s="1397"/>
      <c r="M776" s="1397"/>
      <c r="N776" s="1424"/>
      <c r="O776" s="1441"/>
      <c r="P776" s="1441"/>
      <c r="Q776" s="1441"/>
      <c r="R776" s="1441"/>
      <c r="S776" s="1441"/>
      <c r="T776" s="1299"/>
      <c r="U776" s="1300"/>
      <c r="V776" s="1300"/>
      <c r="W776" s="1301"/>
      <c r="X776" s="1181"/>
      <c r="Y776" s="1182"/>
      <c r="Z776" s="1182"/>
      <c r="AA776" s="1182"/>
      <c r="AB776" s="1183"/>
      <c r="AC776" s="1178">
        <f t="shared" si="53"/>
        <v>0</v>
      </c>
      <c r="AD776" s="1179"/>
      <c r="AE776" s="1179"/>
      <c r="AF776" s="1179"/>
      <c r="AG776" s="1180"/>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96"/>
      <c r="K777" s="1397"/>
      <c r="L777" s="1397"/>
      <c r="M777" s="1397"/>
      <c r="N777" s="1424"/>
      <c r="O777" s="1441"/>
      <c r="P777" s="1441"/>
      <c r="Q777" s="1441"/>
      <c r="R777" s="1441"/>
      <c r="S777" s="1441"/>
      <c r="T777" s="1299"/>
      <c r="U777" s="1300"/>
      <c r="V777" s="1300"/>
      <c r="W777" s="1301"/>
      <c r="X777" s="1181"/>
      <c r="Y777" s="1182"/>
      <c r="Z777" s="1182"/>
      <c r="AA777" s="1182"/>
      <c r="AB777" s="1183"/>
      <c r="AC777" s="1178">
        <f t="shared" si="53"/>
        <v>0</v>
      </c>
      <c r="AD777" s="1179"/>
      <c r="AE777" s="1179"/>
      <c r="AF777" s="1179"/>
      <c r="AG777" s="1180"/>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96"/>
      <c r="K778" s="1397"/>
      <c r="L778" s="1397"/>
      <c r="M778" s="1397"/>
      <c r="N778" s="1424"/>
      <c r="O778" s="1441"/>
      <c r="P778" s="1441"/>
      <c r="Q778" s="1441"/>
      <c r="R778" s="1441"/>
      <c r="S778" s="1441"/>
      <c r="T778" s="1299"/>
      <c r="U778" s="1300"/>
      <c r="V778" s="1300"/>
      <c r="W778" s="1301"/>
      <c r="X778" s="1181"/>
      <c r="Y778" s="1182"/>
      <c r="Z778" s="1182"/>
      <c r="AA778" s="1182"/>
      <c r="AB778" s="1183"/>
      <c r="AC778" s="1178">
        <f t="shared" si="53"/>
        <v>0</v>
      </c>
      <c r="AD778" s="1179"/>
      <c r="AE778" s="1179"/>
      <c r="AF778" s="1179"/>
      <c r="AG778" s="1180"/>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96"/>
      <c r="K779" s="1397"/>
      <c r="L779" s="1397"/>
      <c r="M779" s="1397"/>
      <c r="N779" s="1424"/>
      <c r="O779" s="1441"/>
      <c r="P779" s="1441"/>
      <c r="Q779" s="1441"/>
      <c r="R779" s="1441"/>
      <c r="S779" s="1441"/>
      <c r="T779" s="1299"/>
      <c r="U779" s="1300"/>
      <c r="V779" s="1300"/>
      <c r="W779" s="1301"/>
      <c r="X779" s="1181"/>
      <c r="Y779" s="1182"/>
      <c r="Z779" s="1182"/>
      <c r="AA779" s="1182"/>
      <c r="AB779" s="1183"/>
      <c r="AC779" s="1178">
        <f t="shared" si="53"/>
        <v>0</v>
      </c>
      <c r="AD779" s="1179"/>
      <c r="AE779" s="1179"/>
      <c r="AF779" s="1179"/>
      <c r="AG779" s="118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96"/>
      <c r="K780" s="1397"/>
      <c r="L780" s="1397"/>
      <c r="M780" s="1397"/>
      <c r="N780" s="1424"/>
      <c r="O780" s="1441"/>
      <c r="P780" s="1441"/>
      <c r="Q780" s="1441"/>
      <c r="R780" s="1441"/>
      <c r="S780" s="1441"/>
      <c r="T780" s="1299"/>
      <c r="U780" s="1300"/>
      <c r="V780" s="1300"/>
      <c r="W780" s="1301"/>
      <c r="X780" s="1181"/>
      <c r="Y780" s="1182"/>
      <c r="Z780" s="1182"/>
      <c r="AA780" s="1182"/>
      <c r="AB780" s="1183"/>
      <c r="AC780" s="1178">
        <f t="shared" si="53"/>
        <v>0</v>
      </c>
      <c r="AD780" s="1179"/>
      <c r="AE780" s="1179"/>
      <c r="AF780" s="1179"/>
      <c r="AG780" s="118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96"/>
      <c r="K781" s="1397"/>
      <c r="L781" s="1397"/>
      <c r="M781" s="1397"/>
      <c r="N781" s="1424"/>
      <c r="O781" s="1441"/>
      <c r="P781" s="1441"/>
      <c r="Q781" s="1441"/>
      <c r="R781" s="1441"/>
      <c r="S781" s="1441"/>
      <c r="T781" s="1299"/>
      <c r="U781" s="1300"/>
      <c r="V781" s="1300"/>
      <c r="W781" s="1301"/>
      <c r="X781" s="1181"/>
      <c r="Y781" s="1182"/>
      <c r="Z781" s="1182"/>
      <c r="AA781" s="1182"/>
      <c r="AB781" s="1183"/>
      <c r="AC781" s="1178">
        <f t="shared" si="53"/>
        <v>0</v>
      </c>
      <c r="AD781" s="1179"/>
      <c r="AE781" s="1179"/>
      <c r="AF781" s="1179"/>
      <c r="AG781" s="1180"/>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96"/>
      <c r="K782" s="1397"/>
      <c r="L782" s="1397"/>
      <c r="M782" s="1397"/>
      <c r="N782" s="1424"/>
      <c r="O782" s="1441"/>
      <c r="P782" s="1441"/>
      <c r="Q782" s="1441"/>
      <c r="R782" s="1441"/>
      <c r="S782" s="1441"/>
      <c r="T782" s="1299"/>
      <c r="U782" s="1300"/>
      <c r="V782" s="1300"/>
      <c r="W782" s="1301"/>
      <c r="X782" s="1181"/>
      <c r="Y782" s="1182"/>
      <c r="Z782" s="1182"/>
      <c r="AA782" s="1182"/>
      <c r="AB782" s="1183"/>
      <c r="AC782" s="1178">
        <f t="shared" si="53"/>
        <v>0</v>
      </c>
      <c r="AD782" s="1179"/>
      <c r="AE782" s="1179"/>
      <c r="AF782" s="1179"/>
      <c r="AG782" s="1180"/>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96"/>
      <c r="K783" s="1397"/>
      <c r="L783" s="1397"/>
      <c r="M783" s="1397"/>
      <c r="N783" s="1424"/>
      <c r="O783" s="1441"/>
      <c r="P783" s="1441"/>
      <c r="Q783" s="1441"/>
      <c r="R783" s="1441"/>
      <c r="S783" s="1441"/>
      <c r="T783" s="1299"/>
      <c r="U783" s="1300"/>
      <c r="V783" s="1300"/>
      <c r="W783" s="1301"/>
      <c r="X783" s="1181"/>
      <c r="Y783" s="1182"/>
      <c r="Z783" s="1182"/>
      <c r="AA783" s="1182"/>
      <c r="AB783" s="1183"/>
      <c r="AC783" s="1178">
        <f t="shared" si="53"/>
        <v>0</v>
      </c>
      <c r="AD783" s="1179"/>
      <c r="AE783" s="1179"/>
      <c r="AF783" s="1179"/>
      <c r="AG783" s="1180"/>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225" t="s">
        <v>877</v>
      </c>
      <c r="K784" s="1226"/>
      <c r="L784" s="1226"/>
      <c r="M784" s="1226"/>
      <c r="N784" s="1227"/>
      <c r="O784" s="1544">
        <f>SUM(O774:S783)</f>
        <v>0</v>
      </c>
      <c r="P784" s="1544"/>
      <c r="Q784" s="1544"/>
      <c r="R784" s="1544"/>
      <c r="S784" s="1544"/>
      <c r="X784" s="427" t="s">
        <v>876</v>
      </c>
      <c r="Y784" s="166"/>
      <c r="Z784" s="166"/>
      <c r="AA784" s="166"/>
      <c r="AB784" s="839"/>
      <c r="AC784" s="1178">
        <f>SUM(AC774:AG783)</f>
        <v>0</v>
      </c>
      <c r="AD784" s="1179"/>
      <c r="AE784" s="1179"/>
      <c r="AF784" s="1179"/>
      <c r="AG784" s="1180"/>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41" t="str">
        <f>IF(O784&lt;&gt;AG439,"! Total market rate units in the Unit Mix Table above does not match the number of market rate units on row #"&amp;TEXT(ROW(AG439),"#"),"")</f>
        <v/>
      </c>
      <c r="D785" s="1141"/>
      <c r="E785" s="1141"/>
      <c r="F785" s="1141"/>
      <c r="G785" s="1141"/>
      <c r="H785" s="1141"/>
      <c r="I785" s="1141"/>
      <c r="J785" s="1141"/>
      <c r="K785" s="1141"/>
      <c r="L785" s="1141"/>
      <c r="M785" s="1141"/>
      <c r="N785" s="1141"/>
      <c r="O785" s="1141"/>
      <c r="P785" s="1141"/>
      <c r="Q785" s="1141"/>
      <c r="R785" s="1141"/>
      <c r="S785" s="1141"/>
      <c r="T785" s="1141"/>
      <c r="U785" s="1141"/>
      <c r="V785" s="1141"/>
      <c r="W785" s="1141"/>
      <c r="X785" s="1141"/>
      <c r="Y785" s="1141"/>
      <c r="Z785" s="1141"/>
      <c r="AA785" s="1141"/>
      <c r="AB785" s="1141"/>
      <c r="AC785" s="1141"/>
      <c r="AD785" s="1141"/>
      <c r="AE785" s="1141"/>
      <c r="AF785" s="1141"/>
      <c r="AG785" s="1141"/>
      <c r="AH785" s="1141"/>
      <c r="AI785" s="1141"/>
      <c r="AJ785" s="1141"/>
      <c r="AK785" s="1141"/>
      <c r="AL785" s="1141"/>
      <c r="AM785" s="1141"/>
      <c r="AN785" s="11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41"/>
      <c r="D786" s="1141"/>
      <c r="E786" s="1141"/>
      <c r="F786" s="1141"/>
      <c r="G786" s="1141"/>
      <c r="H786" s="1141"/>
      <c r="I786" s="1141"/>
      <c r="J786" s="1141"/>
      <c r="K786" s="1141"/>
      <c r="L786" s="1141"/>
      <c r="M786" s="1141"/>
      <c r="N786" s="1141"/>
      <c r="O786" s="1141"/>
      <c r="P786" s="1141"/>
      <c r="Q786" s="1141"/>
      <c r="R786" s="1141"/>
      <c r="S786" s="1141"/>
      <c r="T786" s="1141"/>
      <c r="U786" s="1141"/>
      <c r="V786" s="1141"/>
      <c r="W786" s="1141"/>
      <c r="X786" s="1141"/>
      <c r="Y786" s="1141"/>
      <c r="Z786" s="1141"/>
      <c r="AA786" s="1141"/>
      <c r="AB786" s="1141"/>
      <c r="AC786" s="1141"/>
      <c r="AD786" s="1141"/>
      <c r="AE786" s="1141"/>
      <c r="AF786" s="1141"/>
      <c r="AG786" s="1141"/>
      <c r="AH786" s="1141"/>
      <c r="AI786" s="1141"/>
      <c r="AJ786" s="1141"/>
      <c r="AK786" s="1141"/>
      <c r="AL786" s="1141"/>
      <c r="AM786" s="1141"/>
      <c r="AN786" s="11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127">
        <f>T738+AC764+AC784</f>
        <v>70814</v>
      </c>
      <c r="Z787" s="1127"/>
      <c r="AA787" s="1127"/>
      <c r="AB787" s="1127"/>
      <c r="AC787" s="112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127">
        <f>(T738+AC764+AC784)*12</f>
        <v>849768</v>
      </c>
      <c r="Z788" s="1127"/>
      <c r="AA788" s="1127"/>
      <c r="AB788" s="1127"/>
      <c r="AC788" s="112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30"/>
      <c r="AA793" s="1439"/>
      <c r="AB793" s="1439"/>
      <c r="AC793" s="1439"/>
      <c r="AD793" s="1439"/>
      <c r="AE793" s="144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38">
        <v>0</v>
      </c>
      <c r="AA794" s="1439"/>
      <c r="AB794" s="1439"/>
      <c r="AC794" s="1439"/>
      <c r="AD794" s="1439"/>
      <c r="AE794" s="144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35">
        <v>0</v>
      </c>
      <c r="AA795" s="1436"/>
      <c r="AB795" s="1436"/>
      <c r="AC795" s="1436"/>
      <c r="AD795" s="1436"/>
      <c r="AE795" s="143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90">
        <f>'Subsidy Contract Calculation'!I40</f>
        <v>0</v>
      </c>
      <c r="AA796" s="1591"/>
      <c r="AB796" s="1591"/>
      <c r="AC796" s="1591"/>
      <c r="AD796" s="1591"/>
      <c r="AE796" s="159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128">
        <v>0</v>
      </c>
      <c r="AA800" s="1129"/>
      <c r="AB800" s="1129"/>
      <c r="AC800" s="1129"/>
      <c r="AD800" s="1129"/>
      <c r="AE800" s="113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128"/>
      <c r="AA801" s="1129"/>
      <c r="AB801" s="1129"/>
      <c r="AC801" s="1129"/>
      <c r="AD801" s="1129"/>
      <c r="AE801" s="113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128"/>
      <c r="AA802" s="1129"/>
      <c r="AB802" s="1129"/>
      <c r="AC802" s="1129"/>
      <c r="AD802" s="1129"/>
      <c r="AE802" s="113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131" t="s">
        <v>562</v>
      </c>
      <c r="Q803" s="1132"/>
      <c r="R803" s="1132"/>
      <c r="S803" s="1132"/>
      <c r="T803" s="1132"/>
      <c r="U803" s="1132"/>
      <c r="V803" s="1132"/>
      <c r="W803" s="1132"/>
      <c r="X803" s="1132"/>
      <c r="Y803" s="1133"/>
      <c r="Z803" s="1128"/>
      <c r="AA803" s="1129"/>
      <c r="AB803" s="1129"/>
      <c r="AC803" s="1129"/>
      <c r="AD803" s="1129"/>
      <c r="AE803" s="113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36">
        <f>SUM(Z800:AE803)</f>
        <v>0</v>
      </c>
      <c r="AA804" s="1237"/>
      <c r="AB804" s="1237"/>
      <c r="AC804" s="1237"/>
      <c r="AD804" s="1237"/>
      <c r="AE804" s="123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36">
        <f>Z804+Y788+Z796</f>
        <v>849768</v>
      </c>
      <c r="AA805" s="1237"/>
      <c r="AB805" s="1237"/>
      <c r="AC805" s="1237"/>
      <c r="AD805" s="1237"/>
      <c r="AE805" s="123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88" t="s">
        <v>878</v>
      </c>
      <c r="N810" s="1588"/>
      <c r="O810" s="1588"/>
      <c r="P810" s="1589"/>
      <c r="Q810" s="1532" t="s">
        <v>263</v>
      </c>
      <c r="R810" s="1532"/>
      <c r="S810" s="1532"/>
      <c r="T810" s="1532"/>
      <c r="U810" s="1532" t="s">
        <v>264</v>
      </c>
      <c r="V810" s="1532"/>
      <c r="W810" s="1532"/>
      <c r="X810" s="1532"/>
      <c r="Y810" s="1532" t="s">
        <v>265</v>
      </c>
      <c r="Z810" s="1532"/>
      <c r="AA810" s="1532"/>
      <c r="AB810" s="1532"/>
      <c r="AC810" s="1532" t="s">
        <v>31</v>
      </c>
      <c r="AD810" s="1532"/>
      <c r="AE810" s="1532"/>
      <c r="AF810" s="1532"/>
      <c r="AG810" s="1536" t="s">
        <v>563</v>
      </c>
      <c r="AH810" s="1536"/>
      <c r="AI810" s="1536"/>
      <c r="AJ810" s="1536"/>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63"/>
      <c r="N811" s="1563"/>
      <c r="O811" s="1563"/>
      <c r="P811" s="1564"/>
      <c r="Q811" s="1532"/>
      <c r="R811" s="1532"/>
      <c r="S811" s="1532"/>
      <c r="T811" s="1532"/>
      <c r="U811" s="1532"/>
      <c r="V811" s="1532"/>
      <c r="W811" s="1532"/>
      <c r="X811" s="1532"/>
      <c r="Y811" s="1532"/>
      <c r="Z811" s="1532"/>
      <c r="AA811" s="1532"/>
      <c r="AB811" s="1532"/>
      <c r="AC811" s="1532"/>
      <c r="AD811" s="1532"/>
      <c r="AE811" s="1532"/>
      <c r="AF811" s="1532"/>
      <c r="AG811" s="1536"/>
      <c r="AH811" s="1536"/>
      <c r="AI811" s="1536"/>
      <c r="AJ811" s="1536"/>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81" t="s">
        <v>694</v>
      </c>
      <c r="D812" s="1306"/>
      <c r="E812" s="1306"/>
      <c r="F812" s="1306"/>
      <c r="G812" s="1306"/>
      <c r="H812" s="1306"/>
      <c r="I812" s="54"/>
      <c r="J812" s="54"/>
      <c r="K812" s="54"/>
      <c r="L812" s="55"/>
      <c r="M812" s="1105"/>
      <c r="N812" s="1105"/>
      <c r="O812" s="1105"/>
      <c r="P812" s="1105"/>
      <c r="Q812" s="1105"/>
      <c r="R812" s="1105"/>
      <c r="S812" s="1105"/>
      <c r="T812" s="1105"/>
      <c r="U812" s="1105"/>
      <c r="V812" s="1105"/>
      <c r="W812" s="1105"/>
      <c r="X812" s="1105"/>
      <c r="Y812" s="1105"/>
      <c r="Z812" s="1105"/>
      <c r="AA812" s="1105"/>
      <c r="AB812" s="1105"/>
      <c r="AC812" s="1246"/>
      <c r="AD812" s="1247"/>
      <c r="AE812" s="1247"/>
      <c r="AF812" s="1248"/>
      <c r="AG812" s="1246"/>
      <c r="AH812" s="1247"/>
      <c r="AI812" s="1247"/>
      <c r="AJ812" s="124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91" t="s">
        <v>695</v>
      </c>
      <c r="D813" s="1354"/>
      <c r="E813" s="1354"/>
      <c r="F813" s="1354"/>
      <c r="G813" s="1354"/>
      <c r="H813" s="1354"/>
      <c r="I813" s="9"/>
      <c r="J813" s="9"/>
      <c r="K813" s="9"/>
      <c r="L813" s="52"/>
      <c r="M813" s="1105"/>
      <c r="N813" s="1105"/>
      <c r="O813" s="1105"/>
      <c r="P813" s="1105"/>
      <c r="Q813" s="1105"/>
      <c r="R813" s="1105"/>
      <c r="S813" s="1105"/>
      <c r="T813" s="1105"/>
      <c r="U813" s="1105"/>
      <c r="V813" s="1105"/>
      <c r="W813" s="1105"/>
      <c r="X813" s="1105"/>
      <c r="Y813" s="1105"/>
      <c r="Z813" s="1105"/>
      <c r="AA813" s="1105"/>
      <c r="AB813" s="1105"/>
      <c r="AC813" s="1246"/>
      <c r="AD813" s="1247"/>
      <c r="AE813" s="1247"/>
      <c r="AF813" s="1248"/>
      <c r="AG813" s="1246"/>
      <c r="AH813" s="1247"/>
      <c r="AI813" s="1247"/>
      <c r="AJ813" s="124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91" t="s">
        <v>71</v>
      </c>
      <c r="D814" s="1354"/>
      <c r="E814" s="1354"/>
      <c r="F814" s="1354"/>
      <c r="G814" s="1354"/>
      <c r="H814" s="1354"/>
      <c r="I814" s="66"/>
      <c r="J814" s="66"/>
      <c r="K814" s="66"/>
      <c r="L814" s="67"/>
      <c r="M814" s="1105"/>
      <c r="N814" s="1105"/>
      <c r="O814" s="1105"/>
      <c r="P814" s="1105"/>
      <c r="Q814" s="1105"/>
      <c r="R814" s="1105"/>
      <c r="S814" s="1105"/>
      <c r="T814" s="1105"/>
      <c r="U814" s="1105"/>
      <c r="V814" s="1105"/>
      <c r="W814" s="1105"/>
      <c r="X814" s="1105"/>
      <c r="Y814" s="1105"/>
      <c r="Z814" s="1105"/>
      <c r="AA814" s="1105"/>
      <c r="AB814" s="1105"/>
      <c r="AC814" s="1246"/>
      <c r="AD814" s="1247"/>
      <c r="AE814" s="1247"/>
      <c r="AF814" s="1248"/>
      <c r="AG814" s="1246"/>
      <c r="AH814" s="1247"/>
      <c r="AI814" s="1247"/>
      <c r="AJ814" s="124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91" t="s">
        <v>178</v>
      </c>
      <c r="D815" s="1354"/>
      <c r="E815" s="1354"/>
      <c r="F815" s="1354"/>
      <c r="G815" s="1354"/>
      <c r="H815" s="1354"/>
      <c r="I815" s="66"/>
      <c r="J815" s="66"/>
      <c r="K815" s="66"/>
      <c r="L815" s="67"/>
      <c r="M815" s="1105"/>
      <c r="N815" s="1105"/>
      <c r="O815" s="1105"/>
      <c r="P815" s="1105"/>
      <c r="Q815" s="1105"/>
      <c r="R815" s="1105"/>
      <c r="S815" s="1105"/>
      <c r="T815" s="1105"/>
      <c r="U815" s="1105"/>
      <c r="V815" s="1105"/>
      <c r="W815" s="1105"/>
      <c r="X815" s="1105"/>
      <c r="Y815" s="1105"/>
      <c r="Z815" s="1105"/>
      <c r="AA815" s="1105"/>
      <c r="AB815" s="1105"/>
      <c r="AC815" s="1246"/>
      <c r="AD815" s="1247"/>
      <c r="AE815" s="1247"/>
      <c r="AF815" s="1248"/>
      <c r="AG815" s="1246"/>
      <c r="AH815" s="1247"/>
      <c r="AI815" s="1247"/>
      <c r="AJ815" s="124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91" t="s">
        <v>790</v>
      </c>
      <c r="D816" s="1354"/>
      <c r="E816" s="1354"/>
      <c r="F816" s="1354"/>
      <c r="G816" s="1354"/>
      <c r="H816" s="1354"/>
      <c r="I816" s="66"/>
      <c r="J816" s="66"/>
      <c r="K816" s="66"/>
      <c r="L816" s="67"/>
      <c r="M816" s="1105"/>
      <c r="N816" s="1105"/>
      <c r="O816" s="1105"/>
      <c r="P816" s="1105"/>
      <c r="Q816" s="1105"/>
      <c r="R816" s="1105"/>
      <c r="S816" s="1105"/>
      <c r="T816" s="1105"/>
      <c r="U816" s="1105"/>
      <c r="V816" s="1105"/>
      <c r="W816" s="1105"/>
      <c r="X816" s="1105"/>
      <c r="Y816" s="1105"/>
      <c r="Z816" s="1105"/>
      <c r="AA816" s="1105"/>
      <c r="AB816" s="1105"/>
      <c r="AC816" s="1246"/>
      <c r="AD816" s="1247"/>
      <c r="AE816" s="1247"/>
      <c r="AF816" s="1248"/>
      <c r="AG816" s="1246"/>
      <c r="AH816" s="1247"/>
      <c r="AI816" s="1247"/>
      <c r="AJ816" s="124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43" t="s">
        <v>943</v>
      </c>
      <c r="D817" s="1354"/>
      <c r="E817" s="1354"/>
      <c r="F817" s="1354"/>
      <c r="G817" s="1354"/>
      <c r="H817" s="1354"/>
      <c r="I817" s="66"/>
      <c r="J817" s="66"/>
      <c r="K817" s="66"/>
      <c r="L817" s="67"/>
      <c r="M817" s="1105"/>
      <c r="N817" s="1105"/>
      <c r="O817" s="1105"/>
      <c r="P817" s="1105"/>
      <c r="Q817" s="1105"/>
      <c r="R817" s="1105"/>
      <c r="S817" s="1105"/>
      <c r="T817" s="1105"/>
      <c r="U817" s="1105"/>
      <c r="V817" s="1105"/>
      <c r="W817" s="1105"/>
      <c r="X817" s="1105"/>
      <c r="Y817" s="1105"/>
      <c r="Z817" s="1105"/>
      <c r="AA817" s="1105"/>
      <c r="AB817" s="1105"/>
      <c r="AC817" s="1246"/>
      <c r="AD817" s="1247"/>
      <c r="AE817" s="1247"/>
      <c r="AF817" s="1248"/>
      <c r="AG817" s="1246"/>
      <c r="AH817" s="1247"/>
      <c r="AI817" s="1247"/>
      <c r="AJ817" s="124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75" t="s">
        <v>2470</v>
      </c>
      <c r="G818" s="1132"/>
      <c r="H818" s="1132"/>
      <c r="I818" s="1132"/>
      <c r="J818" s="1132"/>
      <c r="K818" s="1132"/>
      <c r="L818" s="1132"/>
      <c r="M818" s="1105"/>
      <c r="N818" s="1105"/>
      <c r="O818" s="1105"/>
      <c r="P818" s="1105"/>
      <c r="Q818" s="1105">
        <v>6</v>
      </c>
      <c r="R818" s="1105"/>
      <c r="S818" s="1105"/>
      <c r="T818" s="1105"/>
      <c r="U818" s="1105">
        <v>6</v>
      </c>
      <c r="V818" s="1105"/>
      <c r="W818" s="1105"/>
      <c r="X818" s="1105"/>
      <c r="Y818" s="1105">
        <v>6</v>
      </c>
      <c r="Z818" s="1105"/>
      <c r="AA818" s="1105"/>
      <c r="AB818" s="1105"/>
      <c r="AC818" s="1246"/>
      <c r="AD818" s="1247"/>
      <c r="AE818" s="1247"/>
      <c r="AF818" s="1248"/>
      <c r="AG818" s="1246"/>
      <c r="AH818" s="1247"/>
      <c r="AI818" s="1247"/>
      <c r="AJ818" s="124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225" t="s">
        <v>876</v>
      </c>
      <c r="D819" s="1226"/>
      <c r="E819" s="1226"/>
      <c r="F819" s="1226"/>
      <c r="G819" s="1226"/>
      <c r="H819" s="1226"/>
      <c r="I819" s="1226"/>
      <c r="J819" s="1226"/>
      <c r="K819" s="1226"/>
      <c r="L819" s="1227"/>
      <c r="M819" s="1242">
        <f>SUM(M812:P818)</f>
        <v>0</v>
      </c>
      <c r="N819" s="1242"/>
      <c r="O819" s="1242"/>
      <c r="P819" s="1242"/>
      <c r="Q819" s="1242">
        <f>SUM(Q812:T818)</f>
        <v>6</v>
      </c>
      <c r="R819" s="1242"/>
      <c r="S819" s="1242"/>
      <c r="T819" s="1242"/>
      <c r="U819" s="1242">
        <f>SUM(U812:X818)</f>
        <v>6</v>
      </c>
      <c r="V819" s="1242"/>
      <c r="W819" s="1242"/>
      <c r="X819" s="1242"/>
      <c r="Y819" s="1242">
        <f>SUM(Y812:AB818)</f>
        <v>6</v>
      </c>
      <c r="Z819" s="1242"/>
      <c r="AA819" s="1242"/>
      <c r="AB819" s="1242"/>
      <c r="AC819" s="1242">
        <f>SUM(AC812:AF818)</f>
        <v>0</v>
      </c>
      <c r="AD819" s="1242"/>
      <c r="AE819" s="1242"/>
      <c r="AF819" s="1242"/>
      <c r="AG819" s="1242">
        <f>SUM(AG812:AJ818)</f>
        <v>0</v>
      </c>
      <c r="AH819" s="1242"/>
      <c r="AI819" s="1242"/>
      <c r="AJ819" s="1242"/>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52" t="s">
        <v>2471</v>
      </c>
      <c r="D824" s="1253"/>
      <c r="E824" s="1253"/>
      <c r="F824" s="1253"/>
      <c r="G824" s="1253"/>
      <c r="H824" s="1253"/>
      <c r="I824" s="1253"/>
      <c r="J824" s="1253"/>
      <c r="K824" s="1253"/>
      <c r="L824" s="1253"/>
      <c r="M824" s="1253"/>
      <c r="N824" s="1253"/>
      <c r="O824" s="1253"/>
      <c r="P824" s="1253"/>
      <c r="Q824" s="1253"/>
      <c r="R824" s="1253"/>
      <c r="S824" s="1253"/>
      <c r="T824" s="1253"/>
      <c r="U824" s="1253"/>
      <c r="V824" s="1253"/>
      <c r="W824" s="1253"/>
      <c r="X824" s="1253"/>
      <c r="Y824" s="1253"/>
      <c r="Z824" s="1253"/>
      <c r="AA824" s="1253"/>
      <c r="AB824" s="1253"/>
      <c r="AC824" s="1253"/>
      <c r="AD824" s="1253"/>
      <c r="AE824" s="1253"/>
      <c r="AF824" s="1253"/>
      <c r="AG824" s="1253"/>
      <c r="AH824" s="1253"/>
      <c r="AI824" s="1253"/>
      <c r="AJ824" s="125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68" t="s">
        <v>368</v>
      </c>
      <c r="BB827" s="1569"/>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49">
        <v>500</v>
      </c>
      <c r="X829" s="1249"/>
      <c r="Y829" s="1249"/>
      <c r="Z829" s="1249"/>
      <c r="AA829" s="1249"/>
      <c r="AB829" s="1249"/>
      <c r="AC829" s="1249"/>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49">
        <v>10000</v>
      </c>
      <c r="X830" s="1249"/>
      <c r="Y830" s="1249"/>
      <c r="Z830" s="1249"/>
      <c r="AA830" s="1249"/>
      <c r="AB830" s="1249"/>
      <c r="AC830" s="1249"/>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49">
        <v>15000</v>
      </c>
      <c r="X831" s="1249"/>
      <c r="Y831" s="1249"/>
      <c r="Z831" s="1249"/>
      <c r="AA831" s="1249"/>
      <c r="AB831" s="1249"/>
      <c r="AC831" s="1249"/>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49"/>
      <c r="X832" s="1249"/>
      <c r="Y832" s="1249"/>
      <c r="Z832" s="1249"/>
      <c r="AA832" s="1249"/>
      <c r="AB832" s="1249"/>
      <c r="AC832" s="124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31" t="s">
        <v>562</v>
      </c>
      <c r="N833" s="1132"/>
      <c r="O833" s="1132"/>
      <c r="P833" s="1132"/>
      <c r="Q833" s="1132"/>
      <c r="R833" s="1132"/>
      <c r="S833" s="1132"/>
      <c r="T833" s="1132"/>
      <c r="U833" s="1132"/>
      <c r="V833" s="1133"/>
      <c r="W833" s="1249"/>
      <c r="X833" s="1249"/>
      <c r="Y833" s="1249"/>
      <c r="Z833" s="1249"/>
      <c r="AA833" s="1249"/>
      <c r="AB833" s="1249"/>
      <c r="AC833" s="124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65" t="str">
        <f>T189</f>
        <v>Sonoma</v>
      </c>
      <c r="BP833" s="1566"/>
      <c r="BQ833" s="1566"/>
      <c r="BR833" s="1566"/>
      <c r="BS833" s="1566"/>
      <c r="BT833" s="1566"/>
      <c r="BU833" s="1567"/>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36">
        <f>SUM(W829:W833)</f>
        <v>25500</v>
      </c>
      <c r="X834" s="1237"/>
      <c r="Y834" s="1237"/>
      <c r="Z834" s="1237"/>
      <c r="AA834" s="1237"/>
      <c r="AB834" s="1237"/>
      <c r="AC834" s="1238"/>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225" t="s">
        <v>469</v>
      </c>
      <c r="K836" s="1226"/>
      <c r="L836" s="1226"/>
      <c r="M836" s="1226"/>
      <c r="N836" s="1226"/>
      <c r="O836" s="1226"/>
      <c r="P836" s="1226"/>
      <c r="Q836" s="1226"/>
      <c r="R836" s="1226"/>
      <c r="S836" s="1226"/>
      <c r="T836" s="1226"/>
      <c r="U836" s="1226"/>
      <c r="V836" s="1227"/>
      <c r="W836" s="1128">
        <v>51189</v>
      </c>
      <c r="X836" s="1129"/>
      <c r="Y836" s="1129"/>
      <c r="Z836" s="1129"/>
      <c r="AA836" s="1129"/>
      <c r="AB836" s="1129"/>
      <c r="AC836" s="113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235">
        <v>500</v>
      </c>
      <c r="X838" s="1235"/>
      <c r="Y838" s="1235"/>
      <c r="Z838" s="1235"/>
      <c r="AA838" s="1235"/>
      <c r="AB838" s="1235"/>
      <c r="AC838" s="123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35"/>
      <c r="X839" s="1235"/>
      <c r="Y839" s="1235"/>
      <c r="Z839" s="1235"/>
      <c r="AA839" s="1235"/>
      <c r="AB839" s="1235"/>
      <c r="AC839" s="123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235">
        <v>15000</v>
      </c>
      <c r="X840" s="1235"/>
      <c r="Y840" s="1235"/>
      <c r="Z840" s="1235"/>
      <c r="AA840" s="1235"/>
      <c r="AB840" s="1235"/>
      <c r="AC840" s="123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35">
        <v>35000</v>
      </c>
      <c r="X841" s="1235"/>
      <c r="Y841" s="1235"/>
      <c r="Z841" s="1235"/>
      <c r="AA841" s="1235"/>
      <c r="AB841" s="1235"/>
      <c r="AC841" s="123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54">
        <f>SUM(W838:W841)</f>
        <v>50500</v>
      </c>
      <c r="X842" s="1554"/>
      <c r="Y842" s="1554"/>
      <c r="Z842" s="1554"/>
      <c r="AA842" s="1554"/>
      <c r="AB842" s="1554"/>
      <c r="AC842" s="1554"/>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243">
        <v>34032</v>
      </c>
      <c r="X844" s="1244"/>
      <c r="Y844" s="1244"/>
      <c r="Z844" s="1244"/>
      <c r="AA844" s="1244"/>
      <c r="AB844" s="1244"/>
      <c r="AC844" s="1245"/>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102"/>
      <c r="U845" s="1103"/>
      <c r="V845" s="1104"/>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243"/>
      <c r="X846" s="1244"/>
      <c r="Y846" s="1244"/>
      <c r="Z846" s="1244"/>
      <c r="AA846" s="1244"/>
      <c r="AB846" s="1244"/>
      <c r="AC846" s="1245"/>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102"/>
      <c r="U847" s="1103"/>
      <c r="V847" s="1104"/>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31" t="s">
        <v>562</v>
      </c>
      <c r="N848" s="1132"/>
      <c r="O848" s="1132"/>
      <c r="P848" s="1132"/>
      <c r="Q848" s="1132"/>
      <c r="R848" s="1132"/>
      <c r="S848" s="1132"/>
      <c r="T848" s="1132"/>
      <c r="U848" s="1132"/>
      <c r="V848" s="1133"/>
      <c r="W848" s="1243"/>
      <c r="X848" s="1244"/>
      <c r="Y848" s="1244"/>
      <c r="Z848" s="1244"/>
      <c r="AA848" s="1244"/>
      <c r="AB848" s="1244"/>
      <c r="AC848" s="1245"/>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99">
        <f>SUM(W844:W848)</f>
        <v>34032</v>
      </c>
      <c r="X849" s="1600"/>
      <c r="Y849" s="1600"/>
      <c r="Z849" s="1600"/>
      <c r="AA849" s="1600"/>
      <c r="AB849" s="1600"/>
      <c r="AC849" s="1601"/>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43">
        <v>75000</v>
      </c>
      <c r="X850" s="1244"/>
      <c r="Y850" s="1244"/>
      <c r="Z850" s="1244"/>
      <c r="AA850" s="1244"/>
      <c r="AB850" s="1244"/>
      <c r="AC850" s="1245"/>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249">
        <f>354208-348758</f>
        <v>5450</v>
      </c>
      <c r="X852" s="1249"/>
      <c r="Y852" s="1249"/>
      <c r="Z852" s="1249"/>
      <c r="AA852" s="1249"/>
      <c r="AB852" s="1249"/>
      <c r="AC852" s="1249"/>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249">
        <v>10000</v>
      </c>
      <c r="X853" s="1249"/>
      <c r="Y853" s="1249"/>
      <c r="Z853" s="1249"/>
      <c r="AA853" s="1249"/>
      <c r="AB853" s="1249"/>
      <c r="AC853" s="1249"/>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249">
        <v>16830</v>
      </c>
      <c r="X854" s="1249"/>
      <c r="Y854" s="1249"/>
      <c r="Z854" s="1249"/>
      <c r="AA854" s="1249"/>
      <c r="AB854" s="1249"/>
      <c r="AC854" s="124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249">
        <v>50000</v>
      </c>
      <c r="X855" s="1249"/>
      <c r="Y855" s="1249"/>
      <c r="Z855" s="1249"/>
      <c r="AA855" s="1249"/>
      <c r="AB855" s="1249"/>
      <c r="AC855" s="124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249">
        <f>354208-318501</f>
        <v>35707</v>
      </c>
      <c r="X856" s="1249"/>
      <c r="Y856" s="1249"/>
      <c r="Z856" s="1249"/>
      <c r="AA856" s="1249"/>
      <c r="AB856" s="1249"/>
      <c r="AC856" s="124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597"/>
      <c r="X857" s="1249"/>
      <c r="Y857" s="1249"/>
      <c r="Z857" s="1249"/>
      <c r="AA857" s="1249"/>
      <c r="AB857" s="1249"/>
      <c r="AC857" s="1249"/>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31" t="s">
        <v>562</v>
      </c>
      <c r="N858" s="1132"/>
      <c r="O858" s="1132"/>
      <c r="P858" s="1132"/>
      <c r="Q858" s="1132"/>
      <c r="R858" s="1132"/>
      <c r="S858" s="1132"/>
      <c r="T858" s="1132"/>
      <c r="U858" s="1132"/>
      <c r="V858" s="1133"/>
      <c r="W858" s="1249"/>
      <c r="X858" s="1249"/>
      <c r="Y858" s="1249"/>
      <c r="Z858" s="1249"/>
      <c r="AA858" s="1249"/>
      <c r="AB858" s="1249"/>
      <c r="AC858" s="124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127">
        <f>SUM(W852:W858)</f>
        <v>117987</v>
      </c>
      <c r="X859" s="1127"/>
      <c r="Y859" s="1127"/>
      <c r="Z859" s="1127"/>
      <c r="AA859" s="1127"/>
      <c r="AB859" s="1127"/>
      <c r="AC859" s="112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131" t="s">
        <v>562</v>
      </c>
      <c r="N861" s="1132"/>
      <c r="O861" s="1132"/>
      <c r="P861" s="1132"/>
      <c r="Q861" s="1132"/>
      <c r="R861" s="1132"/>
      <c r="S861" s="1132"/>
      <c r="T861" s="1132"/>
      <c r="U861" s="1132"/>
      <c r="V861" s="1133"/>
      <c r="W861" s="1128"/>
      <c r="X861" s="1129"/>
      <c r="Y861" s="1129"/>
      <c r="Z861" s="1129"/>
      <c r="AA861" s="1129"/>
      <c r="AB861" s="1129"/>
      <c r="AC861" s="1130"/>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131" t="s">
        <v>562</v>
      </c>
      <c r="N862" s="1132"/>
      <c r="O862" s="1132"/>
      <c r="P862" s="1132"/>
      <c r="Q862" s="1132"/>
      <c r="R862" s="1132"/>
      <c r="S862" s="1132"/>
      <c r="T862" s="1132"/>
      <c r="U862" s="1132"/>
      <c r="V862" s="1133"/>
      <c r="W862" s="1128"/>
      <c r="X862" s="1129"/>
      <c r="Y862" s="1129"/>
      <c r="Z862" s="1129"/>
      <c r="AA862" s="1129"/>
      <c r="AB862" s="1129"/>
      <c r="AC862" s="113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31" t="s">
        <v>562</v>
      </c>
      <c r="N863" s="1132"/>
      <c r="O863" s="1132"/>
      <c r="P863" s="1132"/>
      <c r="Q863" s="1132"/>
      <c r="R863" s="1132"/>
      <c r="S863" s="1132"/>
      <c r="T863" s="1132"/>
      <c r="U863" s="1132"/>
      <c r="V863" s="1133"/>
      <c r="W863" s="1128"/>
      <c r="X863" s="1129"/>
      <c r="Y863" s="1129"/>
      <c r="Z863" s="1129"/>
      <c r="AA863" s="1129"/>
      <c r="AB863" s="1129"/>
      <c r="AC863" s="1130"/>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31" t="s">
        <v>562</v>
      </c>
      <c r="N864" s="1132"/>
      <c r="O864" s="1132"/>
      <c r="P864" s="1132"/>
      <c r="Q864" s="1132"/>
      <c r="R864" s="1132"/>
      <c r="S864" s="1132"/>
      <c r="T864" s="1132"/>
      <c r="U864" s="1132"/>
      <c r="V864" s="1133"/>
      <c r="W864" s="1128"/>
      <c r="X864" s="1129"/>
      <c r="Y864" s="1129"/>
      <c r="Z864" s="1129"/>
      <c r="AA864" s="1129"/>
      <c r="AB864" s="1129"/>
      <c r="AC864" s="113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31" t="s">
        <v>562</v>
      </c>
      <c r="N865" s="1132"/>
      <c r="O865" s="1132"/>
      <c r="P865" s="1132"/>
      <c r="Q865" s="1132"/>
      <c r="R865" s="1132"/>
      <c r="S865" s="1132"/>
      <c r="T865" s="1132"/>
      <c r="U865" s="1132"/>
      <c r="V865" s="1133"/>
      <c r="W865" s="1128"/>
      <c r="X865" s="1129"/>
      <c r="Y865" s="1129"/>
      <c r="Z865" s="1129"/>
      <c r="AA865" s="1129"/>
      <c r="AB865" s="1129"/>
      <c r="AC865" s="113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36">
        <f>SUM(W861:W865)</f>
        <v>0</v>
      </c>
      <c r="X866" s="1237"/>
      <c r="Y866" s="1237"/>
      <c r="Z866" s="1237"/>
      <c r="AA866" s="1237"/>
      <c r="AB866" s="1237"/>
      <c r="AC866" s="1238"/>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6">
        <f>W834+W842+W849+W850+W859+W866+W836</f>
        <v>354208</v>
      </c>
      <c r="AD870" s="1237"/>
      <c r="AE870" s="1237"/>
      <c r="AF870" s="1237"/>
      <c r="AG870" s="1237"/>
      <c r="AH870" s="1238"/>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231">
        <f>O784+O764+G738</f>
        <v>50</v>
      </c>
      <c r="AD871" s="1232"/>
      <c r="AE871" s="1232"/>
      <c r="AF871" s="1232"/>
      <c r="AG871" s="1232"/>
      <c r="AH871" s="1233"/>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526" t="s">
        <v>346</v>
      </c>
      <c r="F872" s="1527"/>
      <c r="G872" s="1527"/>
      <c r="H872" s="1527"/>
      <c r="I872" s="1527"/>
      <c r="J872" s="1527"/>
      <c r="K872" s="1527"/>
      <c r="L872" s="1527"/>
      <c r="M872" s="1527"/>
      <c r="N872" s="1527"/>
      <c r="O872" s="1527"/>
      <c r="P872" s="1527"/>
      <c r="Q872" s="1527"/>
      <c r="R872" s="1527"/>
      <c r="S872" s="1527"/>
      <c r="T872" s="1527"/>
      <c r="U872" s="1527"/>
      <c r="V872" s="1527"/>
      <c r="W872" s="1527"/>
      <c r="X872" s="1527"/>
      <c r="Y872" s="1527"/>
      <c r="Z872" s="1527"/>
      <c r="AA872" s="1527"/>
      <c r="AB872" s="1528"/>
      <c r="AC872" s="1250">
        <f>IF(ISERROR((ROUNDDOWN(AC870/AC871,0))),0,(ROUNDDOWN(AC870/AC871,0)))</f>
        <v>7084</v>
      </c>
      <c r="AD872" s="1251"/>
      <c r="AE872" s="1251"/>
      <c r="AF872" s="1251"/>
      <c r="AG872" s="1251"/>
      <c r="AH872" s="1251"/>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108">
        <f>+'Sources and Uses Budget'!C74</f>
        <v>169784</v>
      </c>
      <c r="AD873" s="1256"/>
      <c r="AE873" s="1256"/>
      <c r="AF873" s="1256"/>
      <c r="AG873" s="1256"/>
      <c r="AH873" s="1256"/>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130"/>
      <c r="AD874" s="1249"/>
      <c r="AE874" s="1249"/>
      <c r="AF874" s="1249"/>
      <c r="AG874" s="1249"/>
      <c r="AH874" s="1249"/>
      <c r="AI874"/>
      <c r="AJ874"/>
      <c r="AK874"/>
      <c r="AL874"/>
      <c r="AM874" s="38"/>
      <c r="AN874" s="38"/>
      <c r="AV874" s="1525"/>
      <c r="AW874" s="1525"/>
      <c r="AX874" s="1525"/>
      <c r="AY874" s="1525"/>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128">
        <v>22800</v>
      </c>
      <c r="AD875" s="1129"/>
      <c r="AE875" s="1129"/>
      <c r="AF875" s="1129"/>
      <c r="AG875" s="1129"/>
      <c r="AH875" s="1130"/>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128">
        <f>50*500</f>
        <v>25000</v>
      </c>
      <c r="AD876" s="1129"/>
      <c r="AE876" s="1129"/>
      <c r="AF876" s="1129"/>
      <c r="AG876" s="1129"/>
      <c r="AH876" s="1130"/>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128"/>
      <c r="AD877" s="1129"/>
      <c r="AE877" s="1129"/>
      <c r="AF877" s="1129"/>
      <c r="AG877" s="1129"/>
      <c r="AH877" s="1130"/>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128"/>
      <c r="AD878" s="1129"/>
      <c r="AE878" s="1129"/>
      <c r="AF878" s="1129"/>
      <c r="AG878" s="1129"/>
      <c r="AH878" s="1130"/>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71"/>
      <c r="AD879" s="1249"/>
      <c r="AE879" s="1249"/>
      <c r="AF879" s="1249"/>
      <c r="AG879" s="1249"/>
      <c r="AH879" s="1249"/>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39" t="s">
        <v>1209</v>
      </c>
      <c r="F880" s="1240"/>
      <c r="G880" s="1240"/>
      <c r="H880" s="1240"/>
      <c r="I880" s="1240"/>
      <c r="J880" s="1240"/>
      <c r="K880" s="1240"/>
      <c r="L880" s="1240"/>
      <c r="M880" s="1240"/>
      <c r="N880" s="1240"/>
      <c r="O880" s="1240"/>
      <c r="P880" s="1240"/>
      <c r="Q880" s="1240"/>
      <c r="R880" s="1240"/>
      <c r="S880" s="1240"/>
      <c r="T880" s="1240"/>
      <c r="U880" s="1240"/>
      <c r="V880" s="1240"/>
      <c r="W880" s="1240"/>
      <c r="X880" s="1240"/>
      <c r="Y880" s="1240"/>
      <c r="Z880" s="1240"/>
      <c r="AA880" s="1240"/>
      <c r="AB880" s="1241"/>
      <c r="AC880" s="1249"/>
      <c r="AD880" s="1249"/>
      <c r="AE880" s="1249"/>
      <c r="AF880" s="1249"/>
      <c r="AG880" s="1249"/>
      <c r="AH880" s="1249"/>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39" t="s">
        <v>1209</v>
      </c>
      <c r="F881" s="1240"/>
      <c r="G881" s="1240"/>
      <c r="H881" s="1240"/>
      <c r="I881" s="1240"/>
      <c r="J881" s="1240"/>
      <c r="K881" s="1240"/>
      <c r="L881" s="1240"/>
      <c r="M881" s="1240"/>
      <c r="N881" s="1240"/>
      <c r="O881" s="1240"/>
      <c r="P881" s="1240"/>
      <c r="Q881" s="1240"/>
      <c r="R881" s="1240"/>
      <c r="S881" s="1240"/>
      <c r="T881" s="1240"/>
      <c r="U881" s="1240"/>
      <c r="V881" s="1240"/>
      <c r="W881" s="1240"/>
      <c r="X881" s="1240"/>
      <c r="Y881" s="1240"/>
      <c r="Z881" s="1240"/>
      <c r="AA881" s="1240"/>
      <c r="AB881" s="1241"/>
      <c r="AC881" s="1249"/>
      <c r="AD881" s="1249"/>
      <c r="AE881" s="1249"/>
      <c r="AF881" s="1249"/>
      <c r="AG881" s="1249"/>
      <c r="AH881" s="1249"/>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55"/>
      <c r="AD882" s="1255"/>
      <c r="AE882" s="1255"/>
      <c r="AF882" s="1255"/>
      <c r="AG882" s="1255"/>
      <c r="AH882" s="1255"/>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84"/>
      <c r="AO883" s="1584"/>
      <c r="AP883" s="1525"/>
      <c r="AQ883" s="1525"/>
      <c r="AR883" s="1525"/>
      <c r="AS883" s="1525"/>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25"/>
      <c r="AQ884" s="1525"/>
      <c r="AR884" s="1525"/>
      <c r="AS884" s="1525"/>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128"/>
      <c r="AA885" s="1129"/>
      <c r="AB885" s="1129"/>
      <c r="AC885" s="1129"/>
      <c r="AD885" s="1129"/>
      <c r="AE885" s="1130"/>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128"/>
      <c r="AA886" s="1129"/>
      <c r="AB886" s="1129"/>
      <c r="AC886" s="1129"/>
      <c r="AD886" s="1129"/>
      <c r="AE886" s="1130"/>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128"/>
      <c r="AA887" s="1129"/>
      <c r="AB887" s="1129"/>
      <c r="AC887" s="1129"/>
      <c r="AD887" s="1129"/>
      <c r="AE887" s="1130"/>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36">
        <f>Z885-(Z886+Z887)</f>
        <v>0</v>
      </c>
      <c r="AA888" s="1237"/>
      <c r="AB888" s="1237"/>
      <c r="AC888" s="1237"/>
      <c r="AD888" s="1237"/>
      <c r="AE888" s="1238"/>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134" t="s">
        <v>128</v>
      </c>
      <c r="B895" s="1134"/>
      <c r="C895" s="1134"/>
      <c r="D895" s="1134"/>
      <c r="E895" s="1134"/>
      <c r="F895" s="1134"/>
      <c r="G895" s="1134"/>
      <c r="H895" s="1134"/>
      <c r="I895" s="1134"/>
      <c r="J895" s="1134"/>
      <c r="K895" s="1134"/>
      <c r="L895" s="1134"/>
      <c r="M895" s="1134"/>
      <c r="N895" s="1134"/>
      <c r="O895" s="1134"/>
      <c r="P895" s="1134"/>
      <c r="Q895" s="1134"/>
      <c r="R895" s="1134"/>
      <c r="S895" s="1134"/>
      <c r="T895" s="1134"/>
      <c r="U895" s="1134"/>
      <c r="V895" s="1134"/>
      <c r="W895" s="1134"/>
      <c r="X895" s="1134"/>
      <c r="Y895" s="1134"/>
      <c r="Z895" s="1134"/>
      <c r="AA895" s="1134"/>
      <c r="AB895" s="1134"/>
      <c r="AC895" s="1134"/>
      <c r="AD895" s="1134"/>
      <c r="AE895" s="1134"/>
      <c r="AF895" s="1134"/>
      <c r="AG895" s="1134"/>
      <c r="AH895" s="1134"/>
      <c r="AI895" s="1134"/>
      <c r="AJ895" s="1134"/>
      <c r="AK895" s="1134"/>
      <c r="AL895" s="1134"/>
      <c r="AM895" s="1134"/>
      <c r="AN895" s="1134"/>
      <c r="AO895" s="1134"/>
      <c r="AP895" s="1134"/>
      <c r="AQ895" s="1134"/>
      <c r="AR895" s="1134"/>
      <c r="AS895" s="1134"/>
      <c r="AT895" s="1134"/>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34"/>
      <c r="B896" s="1134"/>
      <c r="C896" s="1134"/>
      <c r="D896" s="1134"/>
      <c r="E896" s="1134"/>
      <c r="F896" s="1134"/>
      <c r="G896" s="1134"/>
      <c r="H896" s="1134"/>
      <c r="I896" s="1134"/>
      <c r="J896" s="1134"/>
      <c r="K896" s="1134"/>
      <c r="L896" s="1134"/>
      <c r="M896" s="1134"/>
      <c r="N896" s="1134"/>
      <c r="O896" s="1134"/>
      <c r="P896" s="1134"/>
      <c r="Q896" s="1134"/>
      <c r="R896" s="1134"/>
      <c r="S896" s="1134"/>
      <c r="T896" s="1134"/>
      <c r="U896" s="1134"/>
      <c r="V896" s="1134"/>
      <c r="W896" s="1134"/>
      <c r="X896" s="1134"/>
      <c r="Y896" s="1134"/>
      <c r="Z896" s="1134"/>
      <c r="AA896" s="1134"/>
      <c r="AB896" s="1134"/>
      <c r="AC896" s="1134"/>
      <c r="AD896" s="1134"/>
      <c r="AE896" s="1134"/>
      <c r="AF896" s="1134"/>
      <c r="AG896" s="1134"/>
      <c r="AH896" s="1134"/>
      <c r="AI896" s="1134"/>
      <c r="AJ896" s="1134"/>
      <c r="AK896" s="1134"/>
      <c r="AL896" s="1134"/>
      <c r="AM896" s="1134"/>
      <c r="AN896" s="1134"/>
      <c r="AO896" s="1134"/>
      <c r="AP896" s="1134"/>
      <c r="AQ896" s="1134"/>
      <c r="AR896" s="1134"/>
      <c r="AS896" s="1134"/>
      <c r="AT896" s="1134"/>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85" t="s">
        <v>961</v>
      </c>
      <c r="G900" s="1586"/>
      <c r="H900" s="1586"/>
      <c r="I900" s="1586"/>
      <c r="J900" s="1586"/>
      <c r="K900" s="1586"/>
      <c r="L900" s="1586"/>
      <c r="M900" s="1586"/>
      <c r="N900" s="1586"/>
      <c r="O900" s="1586"/>
      <c r="P900" s="1586"/>
      <c r="Q900" s="1586"/>
      <c r="R900" s="1586"/>
      <c r="S900" s="1586"/>
      <c r="T900" s="1587"/>
      <c r="U900" s="1598" t="s">
        <v>345</v>
      </c>
      <c r="V900" s="1588"/>
      <c r="W900" s="1588"/>
      <c r="X900" s="1588"/>
      <c r="Y900" s="1588"/>
      <c r="Z900" s="1588"/>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59" t="s">
        <v>1039</v>
      </c>
      <c r="G901" s="1560"/>
      <c r="H901" s="1560"/>
      <c r="I901" s="1560"/>
      <c r="J901" s="1560"/>
      <c r="K901" s="1560"/>
      <c r="L901" s="1560"/>
      <c r="M901" s="1560"/>
      <c r="N901" s="1560"/>
      <c r="O901" s="1560"/>
      <c r="P901" s="1560"/>
      <c r="Q901" s="1560"/>
      <c r="R901" s="1560"/>
      <c r="S901" s="1560"/>
      <c r="T901" s="1561"/>
      <c r="U901" s="1559"/>
      <c r="V901" s="1560"/>
      <c r="W901" s="1560"/>
      <c r="X901" s="1560"/>
      <c r="Y901" s="1560"/>
      <c r="Z901" s="156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62"/>
      <c r="G902" s="1563"/>
      <c r="H902" s="1563"/>
      <c r="I902" s="1563"/>
      <c r="J902" s="1563"/>
      <c r="K902" s="1563"/>
      <c r="L902" s="1563"/>
      <c r="M902" s="1563"/>
      <c r="N902" s="1563"/>
      <c r="O902" s="1563"/>
      <c r="P902" s="1563"/>
      <c r="Q902" s="1563"/>
      <c r="R902" s="1563"/>
      <c r="S902" s="1563"/>
      <c r="T902" s="1564"/>
      <c r="U902" s="1562"/>
      <c r="V902" s="1563"/>
      <c r="W902" s="1563"/>
      <c r="X902" s="1563"/>
      <c r="Y902" s="1563"/>
      <c r="Z902" s="1563"/>
      <c r="AA902" s="196"/>
      <c r="AB902" s="1234" t="s">
        <v>56</v>
      </c>
      <c r="AC902" s="1234"/>
      <c r="AD902" s="1234"/>
      <c r="AE902" s="1234"/>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115" t="s">
        <v>158</v>
      </c>
      <c r="G903" s="1116"/>
      <c r="H903" s="1116"/>
      <c r="I903" s="1116"/>
      <c r="J903" s="1116"/>
      <c r="K903" s="1116"/>
      <c r="L903" s="1116"/>
      <c r="M903" s="1116"/>
      <c r="N903" s="1116"/>
      <c r="O903" s="1116"/>
      <c r="P903" s="1116"/>
      <c r="Q903" s="1116"/>
      <c r="R903" s="1116"/>
      <c r="S903" s="1116"/>
      <c r="T903" s="1117"/>
      <c r="U903" s="1121" t="s">
        <v>124</v>
      </c>
      <c r="V903" s="1122"/>
      <c r="W903" s="1122"/>
      <c r="X903" s="1122"/>
      <c r="Y903" s="1122"/>
      <c r="Z903" s="1123"/>
      <c r="AA903" s="1106"/>
      <c r="AB903" s="1107"/>
      <c r="AC903" s="1107"/>
      <c r="AD903" s="1107"/>
      <c r="AE903" s="1107"/>
      <c r="AF903" s="1108"/>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115" t="s">
        <v>160</v>
      </c>
      <c r="G904" s="1116"/>
      <c r="H904" s="1116"/>
      <c r="I904" s="1116"/>
      <c r="J904" s="1116"/>
      <c r="K904" s="1116"/>
      <c r="L904" s="1116"/>
      <c r="M904" s="1116"/>
      <c r="N904" s="1116"/>
      <c r="O904" s="1116"/>
      <c r="P904" s="1116"/>
      <c r="Q904" s="1116"/>
      <c r="R904" s="1116"/>
      <c r="S904" s="1116"/>
      <c r="T904" s="1117"/>
      <c r="U904" s="1121" t="s">
        <v>124</v>
      </c>
      <c r="V904" s="1122"/>
      <c r="W904" s="1122"/>
      <c r="X904" s="1122"/>
      <c r="Y904" s="1122"/>
      <c r="Z904" s="1123"/>
      <c r="AA904" s="1106"/>
      <c r="AB904" s="1107"/>
      <c r="AC904" s="1107"/>
      <c r="AD904" s="1107"/>
      <c r="AE904" s="1107"/>
      <c r="AF904" s="110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118" t="s">
        <v>946</v>
      </c>
      <c r="G905" s="1119"/>
      <c r="H905" s="1119"/>
      <c r="I905" s="1119"/>
      <c r="J905" s="1119"/>
      <c r="K905" s="1119"/>
      <c r="L905" s="1119"/>
      <c r="M905" s="1119"/>
      <c r="N905" s="1119"/>
      <c r="O905" s="1119"/>
      <c r="P905" s="1119"/>
      <c r="Q905" s="1119"/>
      <c r="R905" s="1119"/>
      <c r="S905" s="1119"/>
      <c r="T905" s="1120"/>
      <c r="U905" s="1121" t="s">
        <v>124</v>
      </c>
      <c r="V905" s="1122"/>
      <c r="W905" s="1122"/>
      <c r="X905" s="1122"/>
      <c r="Y905" s="1122"/>
      <c r="Z905" s="1123"/>
      <c r="AA905" s="1106"/>
      <c r="AB905" s="1107"/>
      <c r="AC905" s="1107"/>
      <c r="AD905" s="1107"/>
      <c r="AE905" s="1107"/>
      <c r="AF905" s="110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118" t="s">
        <v>947</v>
      </c>
      <c r="G906" s="1119"/>
      <c r="H906" s="1119"/>
      <c r="I906" s="1119"/>
      <c r="J906" s="1119"/>
      <c r="K906" s="1119"/>
      <c r="L906" s="1119"/>
      <c r="M906" s="1119"/>
      <c r="N906" s="1119"/>
      <c r="O906" s="1119"/>
      <c r="P906" s="1119"/>
      <c r="Q906" s="1119"/>
      <c r="R906" s="1119"/>
      <c r="S906" s="1119"/>
      <c r="T906" s="1120"/>
      <c r="U906" s="1121" t="s">
        <v>124</v>
      </c>
      <c r="V906" s="1122"/>
      <c r="W906" s="1122"/>
      <c r="X906" s="1122"/>
      <c r="Y906" s="1122"/>
      <c r="Z906" s="1123"/>
      <c r="AA906" s="1106"/>
      <c r="AB906" s="1107"/>
      <c r="AC906" s="1107"/>
      <c r="AD906" s="1107"/>
      <c r="AE906" s="1107"/>
      <c r="AF906" s="110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118" t="s">
        <v>948</v>
      </c>
      <c r="G907" s="1119"/>
      <c r="H907" s="1119"/>
      <c r="I907" s="1119"/>
      <c r="J907" s="1119"/>
      <c r="K907" s="1119"/>
      <c r="L907" s="1119"/>
      <c r="M907" s="1119"/>
      <c r="N907" s="1119"/>
      <c r="O907" s="1119"/>
      <c r="P907" s="1119"/>
      <c r="Q907" s="1119"/>
      <c r="R907" s="1119"/>
      <c r="S907" s="1119"/>
      <c r="T907" s="1120"/>
      <c r="U907" s="1121" t="s">
        <v>124</v>
      </c>
      <c r="V907" s="1122"/>
      <c r="W907" s="1122"/>
      <c r="X907" s="1122"/>
      <c r="Y907" s="1122"/>
      <c r="Z907" s="1123"/>
      <c r="AA907" s="1106"/>
      <c r="AB907" s="1107"/>
      <c r="AC907" s="1107"/>
      <c r="AD907" s="1107"/>
      <c r="AE907" s="1107"/>
      <c r="AF907" s="110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115" t="s">
        <v>159</v>
      </c>
      <c r="G908" s="1116"/>
      <c r="H908" s="1116"/>
      <c r="I908" s="1116"/>
      <c r="J908" s="1116"/>
      <c r="K908" s="1116"/>
      <c r="L908" s="1116"/>
      <c r="M908" s="1116"/>
      <c r="N908" s="1116"/>
      <c r="O908" s="1116"/>
      <c r="P908" s="1116"/>
      <c r="Q908" s="1116"/>
      <c r="R908" s="1116"/>
      <c r="S908" s="1116"/>
      <c r="T908" s="1117"/>
      <c r="U908" s="1121" t="s">
        <v>124</v>
      </c>
      <c r="V908" s="1122"/>
      <c r="W908" s="1122"/>
      <c r="X908" s="1122"/>
      <c r="Y908" s="1122"/>
      <c r="Z908" s="1123"/>
      <c r="AA908" s="1106"/>
      <c r="AB908" s="1107"/>
      <c r="AC908" s="1107"/>
      <c r="AD908" s="1107"/>
      <c r="AE908" s="1107"/>
      <c r="AF908" s="1108"/>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115" t="s">
        <v>2268</v>
      </c>
      <c r="G909" s="1116"/>
      <c r="H909" s="1116"/>
      <c r="I909" s="1116"/>
      <c r="J909" s="1116"/>
      <c r="K909" s="1116"/>
      <c r="L909" s="1116"/>
      <c r="M909" s="1116"/>
      <c r="N909" s="1116"/>
      <c r="O909" s="1116"/>
      <c r="P909" s="1116"/>
      <c r="Q909" s="1116"/>
      <c r="R909" s="1116"/>
      <c r="S909" s="1116"/>
      <c r="T909" s="1117"/>
      <c r="U909" s="1121" t="s">
        <v>124</v>
      </c>
      <c r="V909" s="1122"/>
      <c r="W909" s="1122"/>
      <c r="X909" s="1122"/>
      <c r="Y909" s="1122"/>
      <c r="Z909" s="1123"/>
      <c r="AA909" s="1106"/>
      <c r="AB909" s="1107"/>
      <c r="AC909" s="1107"/>
      <c r="AD909" s="1107"/>
      <c r="AE909" s="1107"/>
      <c r="AF909" s="110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115" t="s">
        <v>161</v>
      </c>
      <c r="G910" s="1116"/>
      <c r="H910" s="1116"/>
      <c r="I910" s="1116"/>
      <c r="J910" s="1116"/>
      <c r="K910" s="1116"/>
      <c r="L910" s="1116"/>
      <c r="M910" s="1116"/>
      <c r="N910" s="1116"/>
      <c r="O910" s="1116"/>
      <c r="P910" s="1116"/>
      <c r="Q910" s="1116"/>
      <c r="R910" s="1116"/>
      <c r="S910" s="1116"/>
      <c r="T910" s="1117"/>
      <c r="U910" s="1121" t="s">
        <v>124</v>
      </c>
      <c r="V910" s="1122"/>
      <c r="W910" s="1122"/>
      <c r="X910" s="1122"/>
      <c r="Y910" s="1122"/>
      <c r="Z910" s="1123"/>
      <c r="AA910" s="1106"/>
      <c r="AB910" s="1107"/>
      <c r="AC910" s="1107"/>
      <c r="AD910" s="1107"/>
      <c r="AE910" s="1107"/>
      <c r="AF910" s="110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115" t="s">
        <v>2265</v>
      </c>
      <c r="G911" s="1116"/>
      <c r="H911" s="1116"/>
      <c r="I911" s="1116"/>
      <c r="J911" s="1116"/>
      <c r="K911" s="1116"/>
      <c r="L911" s="1116"/>
      <c r="M911" s="1116"/>
      <c r="N911" s="1116"/>
      <c r="O911" s="1116"/>
      <c r="P911" s="1116"/>
      <c r="Q911" s="1116"/>
      <c r="R911" s="1116"/>
      <c r="S911" s="1116"/>
      <c r="T911" s="1117"/>
      <c r="U911" s="1121" t="s">
        <v>124</v>
      </c>
      <c r="V911" s="1122"/>
      <c r="W911" s="1122"/>
      <c r="X911" s="1122"/>
      <c r="Y911" s="1122"/>
      <c r="Z911" s="1123"/>
      <c r="AA911" s="1106"/>
      <c r="AB911" s="1107"/>
      <c r="AC911" s="1107"/>
      <c r="AD911" s="1107"/>
      <c r="AE911" s="1107"/>
      <c r="AF911" s="110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115" t="s">
        <v>2266</v>
      </c>
      <c r="G912" s="1116"/>
      <c r="H912" s="1116"/>
      <c r="I912" s="1116"/>
      <c r="J912" s="1116"/>
      <c r="K912" s="1116"/>
      <c r="L912" s="1116"/>
      <c r="M912" s="1116"/>
      <c r="N912" s="1116"/>
      <c r="O912" s="1116"/>
      <c r="P912" s="1116"/>
      <c r="Q912" s="1116"/>
      <c r="R912" s="1116"/>
      <c r="S912" s="1116"/>
      <c r="T912" s="1117"/>
      <c r="U912" s="1121" t="s">
        <v>124</v>
      </c>
      <c r="V912" s="1122"/>
      <c r="W912" s="1122"/>
      <c r="X912" s="1122"/>
      <c r="Y912" s="1122"/>
      <c r="Z912" s="1123"/>
      <c r="AA912" s="1106"/>
      <c r="AB912" s="1107"/>
      <c r="AC912" s="1107"/>
      <c r="AD912" s="1107"/>
      <c r="AE912" s="1107"/>
      <c r="AF912" s="110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115" t="s">
        <v>2267</v>
      </c>
      <c r="G913" s="1116"/>
      <c r="H913" s="1116"/>
      <c r="I913" s="1116"/>
      <c r="J913" s="1116"/>
      <c r="K913" s="1116"/>
      <c r="L913" s="1116"/>
      <c r="M913" s="1116"/>
      <c r="N913" s="1116"/>
      <c r="O913" s="1116"/>
      <c r="P913" s="1116"/>
      <c r="Q913" s="1116"/>
      <c r="R913" s="1116"/>
      <c r="S913" s="1116"/>
      <c r="T913" s="1117"/>
      <c r="U913" s="1121" t="s">
        <v>124</v>
      </c>
      <c r="V913" s="1122"/>
      <c r="W913" s="1122"/>
      <c r="X913" s="1122"/>
      <c r="Y913" s="1122"/>
      <c r="Z913" s="1123"/>
      <c r="AA913" s="1106"/>
      <c r="AB913" s="1107"/>
      <c r="AC913" s="1107"/>
      <c r="AD913" s="1107"/>
      <c r="AE913" s="1107"/>
      <c r="AF913" s="110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115" t="s">
        <v>2261</v>
      </c>
      <c r="G914" s="1116"/>
      <c r="H914" s="1116"/>
      <c r="I914" s="1116"/>
      <c r="J914" s="1116"/>
      <c r="K914" s="1116"/>
      <c r="L914" s="1116"/>
      <c r="M914" s="1116"/>
      <c r="N914" s="1116"/>
      <c r="O914" s="1116"/>
      <c r="P914" s="1116"/>
      <c r="Q914" s="1116"/>
      <c r="R914" s="1116"/>
      <c r="S914" s="1116"/>
      <c r="T914" s="1117"/>
      <c r="U914" s="1121" t="s">
        <v>124</v>
      </c>
      <c r="V914" s="1122"/>
      <c r="W914" s="1122"/>
      <c r="X914" s="1122"/>
      <c r="Y914" s="1122"/>
      <c r="Z914" s="1123"/>
      <c r="AA914" s="1106"/>
      <c r="AB914" s="1107"/>
      <c r="AC914" s="1107"/>
      <c r="AD914" s="1107"/>
      <c r="AE914" s="1107"/>
      <c r="AF914" s="110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115" t="s">
        <v>2258</v>
      </c>
      <c r="G915" s="1116"/>
      <c r="H915" s="1116"/>
      <c r="I915" s="1116"/>
      <c r="J915" s="1116"/>
      <c r="K915" s="1116"/>
      <c r="L915" s="1116"/>
      <c r="M915" s="1116"/>
      <c r="N915" s="1116"/>
      <c r="O915" s="1116"/>
      <c r="P915" s="1116"/>
      <c r="Q915" s="1116"/>
      <c r="R915" s="1116"/>
      <c r="S915" s="1116"/>
      <c r="T915" s="1117"/>
      <c r="U915" s="1121" t="s">
        <v>124</v>
      </c>
      <c r="V915" s="1122"/>
      <c r="W915" s="1122"/>
      <c r="X915" s="1122"/>
      <c r="Y915" s="1122"/>
      <c r="Z915" s="1123"/>
      <c r="AA915" s="1106"/>
      <c r="AB915" s="1107"/>
      <c r="AC915" s="1107"/>
      <c r="AD915" s="1107"/>
      <c r="AE915" s="1107"/>
      <c r="AF915" s="110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112" t="s">
        <v>157</v>
      </c>
      <c r="G916" s="1113"/>
      <c r="H916" s="1113"/>
      <c r="I916" s="1113"/>
      <c r="J916" s="1113"/>
      <c r="K916" s="1113"/>
      <c r="L916" s="1113"/>
      <c r="M916" s="1113"/>
      <c r="N916" s="1113"/>
      <c r="O916" s="1113"/>
      <c r="P916" s="1113"/>
      <c r="Q916" s="1113"/>
      <c r="R916" s="1113"/>
      <c r="S916" s="1113"/>
      <c r="T916" s="1114"/>
      <c r="U916" s="1121" t="s">
        <v>124</v>
      </c>
      <c r="V916" s="1122"/>
      <c r="W916" s="1122"/>
      <c r="X916" s="1122"/>
      <c r="Y916" s="1122"/>
      <c r="Z916" s="1123"/>
      <c r="AA916" s="1106"/>
      <c r="AB916" s="1107"/>
      <c r="AC916" s="1107"/>
      <c r="AD916" s="1107"/>
      <c r="AE916" s="1107"/>
      <c r="AF916" s="1108"/>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115" t="s">
        <v>1893</v>
      </c>
      <c r="G917" s="1116"/>
      <c r="H917" s="1116"/>
      <c r="I917" s="1116"/>
      <c r="J917" s="1116"/>
      <c r="K917" s="1116"/>
      <c r="L917" s="1116"/>
      <c r="M917" s="1116"/>
      <c r="N917" s="1116"/>
      <c r="O917" s="1116"/>
      <c r="P917" s="1116"/>
      <c r="Q917" s="1116"/>
      <c r="R917" s="1116"/>
      <c r="S917" s="1116"/>
      <c r="T917" s="1117"/>
      <c r="U917" s="1121" t="s">
        <v>124</v>
      </c>
      <c r="V917" s="1122"/>
      <c r="W917" s="1122"/>
      <c r="X917" s="1122"/>
      <c r="Y917" s="1122"/>
      <c r="Z917" s="1123"/>
      <c r="AA917" s="1106"/>
      <c r="AB917" s="1107"/>
      <c r="AC917" s="1107"/>
      <c r="AD917" s="1107"/>
      <c r="AE917" s="1107"/>
      <c r="AF917" s="110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118" t="s">
        <v>1008</v>
      </c>
      <c r="G918" s="1119"/>
      <c r="H918" s="1119"/>
      <c r="I918" s="1119"/>
      <c r="J918" s="1119"/>
      <c r="K918" s="1119"/>
      <c r="L918" s="1119"/>
      <c r="M918" s="1119"/>
      <c r="N918" s="1119"/>
      <c r="O918" s="1119"/>
      <c r="P918" s="1119"/>
      <c r="Q918" s="1119"/>
      <c r="R918" s="1119"/>
      <c r="S918" s="1119"/>
      <c r="T918" s="1120"/>
      <c r="U918" s="1121" t="s">
        <v>124</v>
      </c>
      <c r="V918" s="1122"/>
      <c r="W918" s="1122"/>
      <c r="X918" s="1122"/>
      <c r="Y918" s="1122"/>
      <c r="Z918" s="1123"/>
      <c r="AA918" s="1106"/>
      <c r="AB918" s="1107"/>
      <c r="AC918" s="1107"/>
      <c r="AD918" s="1107"/>
      <c r="AE918" s="1107"/>
      <c r="AF918" s="110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109" t="s">
        <v>2269</v>
      </c>
      <c r="G919" s="1110"/>
      <c r="H919" s="1110"/>
      <c r="I919" s="1110"/>
      <c r="J919" s="1110"/>
      <c r="K919" s="1110"/>
      <c r="L919" s="1110"/>
      <c r="M919" s="1110"/>
      <c r="N919" s="1110"/>
      <c r="O919" s="1110"/>
      <c r="P919" s="1110"/>
      <c r="Q919" s="1110"/>
      <c r="R919" s="1110"/>
      <c r="S919" s="1110"/>
      <c r="T919" s="1111"/>
      <c r="U919" s="1121" t="s">
        <v>124</v>
      </c>
      <c r="V919" s="1122"/>
      <c r="W919" s="1122"/>
      <c r="X919" s="1122"/>
      <c r="Y919" s="1122"/>
      <c r="Z919" s="1123"/>
      <c r="AA919" s="1106"/>
      <c r="AB919" s="1107"/>
      <c r="AC919" s="1107"/>
      <c r="AD919" s="1107"/>
      <c r="AE919" s="1107"/>
      <c r="AF919" s="110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109" t="s">
        <v>2271</v>
      </c>
      <c r="G920" s="1110"/>
      <c r="H920" s="1110"/>
      <c r="I920" s="1110"/>
      <c r="J920" s="1110"/>
      <c r="K920" s="1110"/>
      <c r="L920" s="1110"/>
      <c r="M920" s="1110"/>
      <c r="N920" s="1110"/>
      <c r="O920" s="1110"/>
      <c r="P920" s="1110"/>
      <c r="Q920" s="1110"/>
      <c r="R920" s="1110"/>
      <c r="S920" s="1110"/>
      <c r="T920" s="1111"/>
      <c r="U920" s="1121" t="s">
        <v>124</v>
      </c>
      <c r="V920" s="1122"/>
      <c r="W920" s="1122"/>
      <c r="X920" s="1122"/>
      <c r="Y920" s="1122"/>
      <c r="Z920" s="1123"/>
      <c r="AA920" s="1106"/>
      <c r="AB920" s="1107"/>
      <c r="AC920" s="1107"/>
      <c r="AD920" s="1107"/>
      <c r="AE920" s="1107"/>
      <c r="AF920" s="110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115" t="s">
        <v>2259</v>
      </c>
      <c r="G921" s="1116"/>
      <c r="H921" s="1116"/>
      <c r="I921" s="1116"/>
      <c r="J921" s="1116"/>
      <c r="K921" s="1116"/>
      <c r="L921" s="1116"/>
      <c r="M921" s="1116"/>
      <c r="N921" s="1116"/>
      <c r="O921" s="1116"/>
      <c r="P921" s="1116"/>
      <c r="Q921" s="1116"/>
      <c r="R921" s="1116"/>
      <c r="S921" s="1116"/>
      <c r="T921" s="1117"/>
      <c r="U921" s="1172" t="s">
        <v>124</v>
      </c>
      <c r="V921" s="1173"/>
      <c r="W921" s="1173"/>
      <c r="X921" s="1173"/>
      <c r="Y921" s="1173"/>
      <c r="Z921" s="1174"/>
      <c r="AA921" s="1124"/>
      <c r="AB921" s="1125"/>
      <c r="AC921" s="1125"/>
      <c r="AD921" s="1125"/>
      <c r="AE921" s="1125"/>
      <c r="AF921" s="112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115" t="s">
        <v>2263</v>
      </c>
      <c r="G922" s="1116"/>
      <c r="H922" s="1116"/>
      <c r="I922" s="1116"/>
      <c r="J922" s="1116"/>
      <c r="K922" s="1116"/>
      <c r="L922" s="1116"/>
      <c r="M922" s="1116"/>
      <c r="N922" s="1116"/>
      <c r="O922" s="1116"/>
      <c r="P922" s="1116"/>
      <c r="Q922" s="1116"/>
      <c r="R922" s="1116"/>
      <c r="S922" s="1116"/>
      <c r="T922" s="1117"/>
      <c r="U922" s="1172" t="s">
        <v>124</v>
      </c>
      <c r="V922" s="1173"/>
      <c r="W922" s="1173"/>
      <c r="X922" s="1173"/>
      <c r="Y922" s="1173"/>
      <c r="Z922" s="1174"/>
      <c r="AA922" s="1124"/>
      <c r="AB922" s="1125"/>
      <c r="AC922" s="1125"/>
      <c r="AD922" s="1125"/>
      <c r="AE922" s="1125"/>
      <c r="AF922" s="112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115" t="s">
        <v>2260</v>
      </c>
      <c r="G923" s="1116"/>
      <c r="H923" s="1116"/>
      <c r="I923" s="1116"/>
      <c r="J923" s="1116"/>
      <c r="K923" s="1116"/>
      <c r="L923" s="1116"/>
      <c r="M923" s="1116"/>
      <c r="N923" s="1116"/>
      <c r="O923" s="1116"/>
      <c r="P923" s="1116"/>
      <c r="Q923" s="1116"/>
      <c r="R923" s="1116"/>
      <c r="S923" s="1116"/>
      <c r="T923" s="1117"/>
      <c r="U923" s="1172" t="s">
        <v>124</v>
      </c>
      <c r="V923" s="1173"/>
      <c r="W923" s="1173"/>
      <c r="X923" s="1173"/>
      <c r="Y923" s="1173"/>
      <c r="Z923" s="1174"/>
      <c r="AA923" s="1124"/>
      <c r="AB923" s="1125"/>
      <c r="AC923" s="1125"/>
      <c r="AD923" s="1125"/>
      <c r="AE923" s="1125"/>
      <c r="AF923" s="112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109" t="s">
        <v>1891</v>
      </c>
      <c r="G924" s="1110"/>
      <c r="H924" s="1110"/>
      <c r="I924" s="1110"/>
      <c r="J924" s="1110"/>
      <c r="K924" s="1110"/>
      <c r="L924" s="1110"/>
      <c r="M924" s="1110"/>
      <c r="N924" s="1110"/>
      <c r="O924" s="1110"/>
      <c r="P924" s="1110"/>
      <c r="Q924" s="1110"/>
      <c r="R924" s="1110"/>
      <c r="S924" s="1110"/>
      <c r="T924" s="1111"/>
      <c r="U924" s="1121" t="s">
        <v>124</v>
      </c>
      <c r="V924" s="1122"/>
      <c r="W924" s="1122"/>
      <c r="X924" s="1122"/>
      <c r="Y924" s="1122"/>
      <c r="Z924" s="1123"/>
      <c r="AA924" s="1106"/>
      <c r="AB924" s="1107"/>
      <c r="AC924" s="1107"/>
      <c r="AD924" s="1107"/>
      <c r="AE924" s="1107"/>
      <c r="AF924" s="110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109" t="s">
        <v>2272</v>
      </c>
      <c r="G925" s="1110"/>
      <c r="H925" s="1110"/>
      <c r="I925" s="1110"/>
      <c r="J925" s="1110"/>
      <c r="K925" s="1110"/>
      <c r="L925" s="1110"/>
      <c r="M925" s="1110"/>
      <c r="N925" s="1110"/>
      <c r="O925" s="1110"/>
      <c r="P925" s="1110"/>
      <c r="Q925" s="1110"/>
      <c r="R925" s="1110"/>
      <c r="S925" s="1110"/>
      <c r="T925" s="1111"/>
      <c r="U925" s="1121" t="s">
        <v>124</v>
      </c>
      <c r="V925" s="1122"/>
      <c r="W925" s="1122"/>
      <c r="X925" s="1122"/>
      <c r="Y925" s="1122"/>
      <c r="Z925" s="1123"/>
      <c r="AA925" s="1106"/>
      <c r="AB925" s="1107"/>
      <c r="AC925" s="1107"/>
      <c r="AD925" s="1107"/>
      <c r="AE925" s="1107"/>
      <c r="AF925" s="110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109" t="s">
        <v>1892</v>
      </c>
      <c r="G926" s="1110"/>
      <c r="H926" s="1110"/>
      <c r="I926" s="1110"/>
      <c r="J926" s="1110"/>
      <c r="K926" s="1110"/>
      <c r="L926" s="1110"/>
      <c r="M926" s="1110"/>
      <c r="N926" s="1110"/>
      <c r="O926" s="1110"/>
      <c r="P926" s="1110"/>
      <c r="Q926" s="1110"/>
      <c r="R926" s="1110"/>
      <c r="S926" s="1110"/>
      <c r="T926" s="1111"/>
      <c r="U926" s="1121" t="s">
        <v>124</v>
      </c>
      <c r="V926" s="1122"/>
      <c r="W926" s="1122"/>
      <c r="X926" s="1122"/>
      <c r="Y926" s="1122"/>
      <c r="Z926" s="1123"/>
      <c r="AA926" s="1106"/>
      <c r="AB926" s="1107"/>
      <c r="AC926" s="1107"/>
      <c r="AD926" s="1107"/>
      <c r="AE926" s="1107"/>
      <c r="AF926" s="1108"/>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109" t="s">
        <v>156</v>
      </c>
      <c r="G927" s="1110"/>
      <c r="H927" s="1110"/>
      <c r="I927" s="1110"/>
      <c r="J927" s="1110"/>
      <c r="K927" s="1110"/>
      <c r="L927" s="1110"/>
      <c r="M927" s="1110"/>
      <c r="N927" s="1110"/>
      <c r="O927" s="1110"/>
      <c r="P927" s="1110"/>
      <c r="Q927" s="1110"/>
      <c r="R927" s="1110"/>
      <c r="S927" s="1110"/>
      <c r="T927" s="1111"/>
      <c r="U927" s="1121" t="s">
        <v>124</v>
      </c>
      <c r="V927" s="1122"/>
      <c r="W927" s="1122"/>
      <c r="X927" s="1122"/>
      <c r="Y927" s="1122"/>
      <c r="Z927" s="1123"/>
      <c r="AA927" s="1106"/>
      <c r="AB927" s="1107"/>
      <c r="AC927" s="1107"/>
      <c r="AD927" s="1107"/>
      <c r="AE927" s="1107"/>
      <c r="AF927" s="110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109" t="s">
        <v>2270</v>
      </c>
      <c r="G928" s="1110"/>
      <c r="H928" s="1110"/>
      <c r="I928" s="1110"/>
      <c r="J928" s="1110"/>
      <c r="K928" s="1110"/>
      <c r="L928" s="1110"/>
      <c r="M928" s="1110"/>
      <c r="N928" s="1110"/>
      <c r="O928" s="1110"/>
      <c r="P928" s="1110"/>
      <c r="Q928" s="1110"/>
      <c r="R928" s="1110"/>
      <c r="S928" s="1110"/>
      <c r="T928" s="1111"/>
      <c r="U928" s="1121" t="s">
        <v>124</v>
      </c>
      <c r="V928" s="1122"/>
      <c r="W928" s="1122"/>
      <c r="X928" s="1122"/>
      <c r="Y928" s="1122"/>
      <c r="Z928" s="1123"/>
      <c r="AA928" s="1106"/>
      <c r="AB928" s="1107"/>
      <c r="AC928" s="1107"/>
      <c r="AD928" s="1107"/>
      <c r="AE928" s="1107"/>
      <c r="AF928" s="110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396" t="s">
        <v>482</v>
      </c>
      <c r="Q929" s="1122"/>
      <c r="R929" s="1122"/>
      <c r="S929" s="1122"/>
      <c r="T929" s="1123"/>
      <c r="U929" s="1121" t="s">
        <v>124</v>
      </c>
      <c r="V929" s="1122"/>
      <c r="W929" s="1122"/>
      <c r="X929" s="1122"/>
      <c r="Y929" s="1122"/>
      <c r="Z929" s="1123"/>
      <c r="AA929" s="1106"/>
      <c r="AB929" s="1107"/>
      <c r="AC929" s="1107"/>
      <c r="AD929" s="1107"/>
      <c r="AE929" s="1107"/>
      <c r="AF929" s="1108"/>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115" t="s">
        <v>2262</v>
      </c>
      <c r="G930" s="1116"/>
      <c r="H930" s="1117"/>
      <c r="I930" s="1175" t="s">
        <v>562</v>
      </c>
      <c r="J930" s="1176"/>
      <c r="K930" s="1176"/>
      <c r="L930" s="1176"/>
      <c r="M930" s="1176"/>
      <c r="N930" s="1176"/>
      <c r="O930" s="1176"/>
      <c r="P930" s="1176"/>
      <c r="Q930" s="1176"/>
      <c r="R930" s="1176"/>
      <c r="S930" s="1176"/>
      <c r="T930" s="1177"/>
      <c r="U930" s="1121" t="s">
        <v>124</v>
      </c>
      <c r="V930" s="1122"/>
      <c r="W930" s="1122"/>
      <c r="X930" s="1122"/>
      <c r="Y930" s="1122"/>
      <c r="Z930" s="1123"/>
      <c r="AA930" s="1106"/>
      <c r="AB930" s="1107"/>
      <c r="AC930" s="1107"/>
      <c r="AD930" s="1107"/>
      <c r="AE930" s="1107"/>
      <c r="AF930" s="110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115" t="s">
        <v>373</v>
      </c>
      <c r="G931" s="1116"/>
      <c r="H931" s="1117"/>
      <c r="I931" s="1175" t="s">
        <v>2446</v>
      </c>
      <c r="J931" s="1176"/>
      <c r="K931" s="1176"/>
      <c r="L931" s="1176"/>
      <c r="M931" s="1176"/>
      <c r="N931" s="1176"/>
      <c r="O931" s="1176"/>
      <c r="P931" s="1176"/>
      <c r="Q931" s="1176"/>
      <c r="R931" s="1176"/>
      <c r="S931" s="1176"/>
      <c r="T931" s="1177"/>
      <c r="U931" s="1121" t="s">
        <v>108</v>
      </c>
      <c r="V931" s="1122"/>
      <c r="W931" s="1122"/>
      <c r="X931" s="1122"/>
      <c r="Y931" s="1122"/>
      <c r="Z931" s="1123"/>
      <c r="AA931" s="1106">
        <v>2661400</v>
      </c>
      <c r="AB931" s="1107"/>
      <c r="AC931" s="1107"/>
      <c r="AD931" s="1107"/>
      <c r="AE931" s="1107"/>
      <c r="AF931" s="110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115" t="s">
        <v>826</v>
      </c>
      <c r="G932" s="1116"/>
      <c r="H932" s="1117"/>
      <c r="I932" s="1175" t="s">
        <v>2334</v>
      </c>
      <c r="J932" s="1176"/>
      <c r="K932" s="1176"/>
      <c r="L932" s="1176"/>
      <c r="M932" s="1176"/>
      <c r="N932" s="1176"/>
      <c r="O932" s="1176"/>
      <c r="P932" s="1176"/>
      <c r="Q932" s="1176"/>
      <c r="R932" s="1176"/>
      <c r="S932" s="1176"/>
      <c r="T932" s="1177"/>
      <c r="U932" s="1121" t="s">
        <v>108</v>
      </c>
      <c r="V932" s="1122"/>
      <c r="W932" s="1122"/>
      <c r="X932" s="1122"/>
      <c r="Y932" s="1122"/>
      <c r="Z932" s="1123"/>
      <c r="AA932" s="1106">
        <v>750000</v>
      </c>
      <c r="AB932" s="1107"/>
      <c r="AC932" s="1107"/>
      <c r="AD932" s="1107"/>
      <c r="AE932" s="1107"/>
      <c r="AF932" s="110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115" t="s">
        <v>283</v>
      </c>
      <c r="G933" s="1116"/>
      <c r="H933" s="1117"/>
      <c r="I933" s="1175" t="s">
        <v>562</v>
      </c>
      <c r="J933" s="1176"/>
      <c r="K933" s="1176"/>
      <c r="L933" s="1176"/>
      <c r="M933" s="1176"/>
      <c r="N933" s="1176"/>
      <c r="O933" s="1176"/>
      <c r="P933" s="1176"/>
      <c r="Q933" s="1176"/>
      <c r="R933" s="1176"/>
      <c r="S933" s="1176"/>
      <c r="T933" s="1177"/>
      <c r="U933" s="1121" t="s">
        <v>124</v>
      </c>
      <c r="V933" s="1122"/>
      <c r="W933" s="1122"/>
      <c r="X933" s="1122"/>
      <c r="Y933" s="1122"/>
      <c r="Z933" s="1123"/>
      <c r="AA933" s="1106"/>
      <c r="AB933" s="1107"/>
      <c r="AC933" s="1107"/>
      <c r="AD933" s="1107"/>
      <c r="AE933" s="1107"/>
      <c r="AF933" s="110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115" t="s">
        <v>283</v>
      </c>
      <c r="G934" s="1116"/>
      <c r="H934" s="1117"/>
      <c r="I934" s="1175" t="s">
        <v>562</v>
      </c>
      <c r="J934" s="1176"/>
      <c r="K934" s="1176"/>
      <c r="L934" s="1176"/>
      <c r="M934" s="1176"/>
      <c r="N934" s="1176"/>
      <c r="O934" s="1176"/>
      <c r="P934" s="1176"/>
      <c r="Q934" s="1176"/>
      <c r="R934" s="1176"/>
      <c r="S934" s="1176"/>
      <c r="T934" s="1177"/>
      <c r="U934" s="1121" t="s">
        <v>124</v>
      </c>
      <c r="V934" s="1122"/>
      <c r="W934" s="1122"/>
      <c r="X934" s="1122"/>
      <c r="Y934" s="1122"/>
      <c r="Z934" s="1123"/>
      <c r="AA934" s="1106"/>
      <c r="AB934" s="1107"/>
      <c r="AC934" s="1107"/>
      <c r="AD934" s="1107"/>
      <c r="AE934" s="1107"/>
      <c r="AF934" s="110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228"/>
      <c r="M939" s="1229"/>
      <c r="N939" s="1229"/>
      <c r="O939" s="1229"/>
      <c r="P939" s="1229"/>
      <c r="Q939" s="1229"/>
      <c r="R939" s="1229"/>
      <c r="S939" s="1230"/>
      <c r="U939" s="72" t="s">
        <v>827</v>
      </c>
      <c r="V939" s="9"/>
      <c r="W939" s="9"/>
      <c r="X939" s="9"/>
      <c r="Y939" s="9"/>
      <c r="Z939" s="9"/>
      <c r="AA939" s="9"/>
      <c r="AB939" s="9"/>
      <c r="AC939" s="9"/>
      <c r="AD939" s="52"/>
      <c r="AE939" s="1573"/>
      <c r="AF939" s="1436"/>
      <c r="AG939" s="1436"/>
      <c r="AH939" s="1436"/>
      <c r="AI939" s="1436"/>
      <c r="AJ939" s="1436"/>
      <c r="AK939" s="1437"/>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228"/>
      <c r="M940" s="1229"/>
      <c r="N940" s="1229"/>
      <c r="O940" s="1229"/>
      <c r="P940" s="1229"/>
      <c r="Q940" s="1229"/>
      <c r="R940" s="1229"/>
      <c r="S940" s="1230"/>
      <c r="U940" s="72" t="s">
        <v>828</v>
      </c>
      <c r="V940" s="9"/>
      <c r="W940" s="9"/>
      <c r="X940" s="9"/>
      <c r="Y940" s="9"/>
      <c r="Z940" s="9"/>
      <c r="AA940" s="9"/>
      <c r="AB940" s="9"/>
      <c r="AC940" s="9"/>
      <c r="AD940" s="52"/>
      <c r="AE940" s="1574"/>
      <c r="AF940" s="1575"/>
      <c r="AG940" s="1575"/>
      <c r="AH940" s="1575"/>
      <c r="AI940" s="1575"/>
      <c r="AJ940" s="1575"/>
      <c r="AK940" s="1576"/>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447" t="s">
        <v>79</v>
      </c>
      <c r="M941" s="1448"/>
      <c r="N941" s="1448"/>
      <c r="O941" s="1448"/>
      <c r="P941" s="1448"/>
      <c r="Q941" s="1448"/>
      <c r="R941" s="1448"/>
      <c r="S941" s="1449"/>
      <c r="U941" s="72" t="s">
        <v>1108</v>
      </c>
      <c r="V941" s="9"/>
      <c r="W941" s="9"/>
      <c r="AE941" s="1447" t="s">
        <v>79</v>
      </c>
      <c r="AF941" s="1448"/>
      <c r="AG941" s="1448"/>
      <c r="AH941" s="1448"/>
      <c r="AI941" s="1448"/>
      <c r="AJ941" s="1448"/>
      <c r="AK941" s="1449"/>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70"/>
      <c r="M942" s="1571"/>
      <c r="N942" s="1571"/>
      <c r="O942" s="1571"/>
      <c r="P942" s="1571"/>
      <c r="Q942" s="1571"/>
      <c r="R942" s="1571"/>
      <c r="S942" s="1572"/>
      <c r="U942" s="72" t="s">
        <v>829</v>
      </c>
      <c r="V942" s="9"/>
      <c r="W942" s="9"/>
      <c r="X942" s="9"/>
      <c r="Y942" s="9"/>
      <c r="Z942" s="9"/>
      <c r="AA942" s="9"/>
      <c r="AB942" s="9"/>
      <c r="AC942" s="9"/>
      <c r="AD942" s="52"/>
      <c r="AE942" s="1570"/>
      <c r="AF942" s="1571"/>
      <c r="AG942" s="1571"/>
      <c r="AH942" s="1571"/>
      <c r="AI942" s="1571"/>
      <c r="AJ942" s="1571"/>
      <c r="AK942" s="1572"/>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78"/>
      <c r="M943" s="1579"/>
      <c r="N943" s="1579"/>
      <c r="O943" s="1579"/>
      <c r="P943" s="1579"/>
      <c r="Q943" s="1579"/>
      <c r="R943" s="1579"/>
      <c r="S943" s="1580"/>
      <c r="U943" s="72" t="s">
        <v>830</v>
      </c>
      <c r="V943" s="9"/>
      <c r="W943" s="9"/>
      <c r="X943" s="9"/>
      <c r="Y943" s="9"/>
      <c r="Z943" s="9"/>
      <c r="AA943" s="9"/>
      <c r="AB943" s="9"/>
      <c r="AC943" s="9"/>
      <c r="AD943" s="52"/>
      <c r="AE943" s="1530"/>
      <c r="AF943" s="1439"/>
      <c r="AG943" s="1439"/>
      <c r="AH943" s="1439"/>
      <c r="AI943" s="1439"/>
      <c r="AJ943" s="1439"/>
      <c r="AK943" s="1440"/>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128"/>
      <c r="M944" s="1129"/>
      <c r="N944" s="1129"/>
      <c r="O944" s="1129"/>
      <c r="P944" s="1129"/>
      <c r="Q944" s="1129"/>
      <c r="R944" s="1129"/>
      <c r="S944" s="1130"/>
      <c r="U944" s="72" t="s">
        <v>831</v>
      </c>
      <c r="V944" s="9"/>
      <c r="W944" s="9"/>
      <c r="X944" s="9"/>
      <c r="Y944" s="9"/>
      <c r="Z944" s="9"/>
      <c r="AA944" s="9"/>
      <c r="AB944" s="9"/>
      <c r="AC944" s="9"/>
      <c r="AD944" s="52"/>
      <c r="AE944" s="1106"/>
      <c r="AF944" s="1107"/>
      <c r="AG944" s="1107"/>
      <c r="AH944" s="1107"/>
      <c r="AI944" s="1107"/>
      <c r="AJ944" s="1107"/>
      <c r="AK944" s="1108"/>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128" t="s">
        <v>2203</v>
      </c>
      <c r="M945" s="1129"/>
      <c r="N945" s="1129"/>
      <c r="O945" s="1129"/>
      <c r="P945" s="1129"/>
      <c r="Q945" s="1129"/>
      <c r="R945" s="1129"/>
      <c r="S945" s="1130"/>
      <c r="U945" s="72" t="s">
        <v>832</v>
      </c>
      <c r="V945" s="9"/>
      <c r="W945" s="9"/>
      <c r="X945" s="9"/>
      <c r="Y945" s="9"/>
      <c r="Z945" s="9"/>
      <c r="AA945" s="9"/>
      <c r="AB945" s="9"/>
      <c r="AC945" s="9"/>
      <c r="AD945" s="52"/>
      <c r="AE945" s="1106"/>
      <c r="AF945" s="1107"/>
      <c r="AG945" s="1107"/>
      <c r="AH945" s="1107"/>
      <c r="AI945" s="1107"/>
      <c r="AJ945" s="1107"/>
      <c r="AK945" s="110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578"/>
      <c r="M946" s="1579"/>
      <c r="N946" s="1579"/>
      <c r="O946" s="1579"/>
      <c r="P946" s="1579"/>
      <c r="Q946" s="1579"/>
      <c r="R946" s="1579"/>
      <c r="S946" s="1580"/>
      <c r="U946" s="212" t="s">
        <v>1959</v>
      </c>
      <c r="V946" s="9"/>
      <c r="W946" s="9"/>
      <c r="X946" s="9"/>
      <c r="Y946" s="9"/>
      <c r="Z946" s="9"/>
      <c r="AA946" s="9"/>
      <c r="AB946" s="9"/>
      <c r="AC946" s="9"/>
      <c r="AD946" s="52"/>
      <c r="AE946" s="1578"/>
      <c r="AF946" s="1579"/>
      <c r="AG946" s="1579"/>
      <c r="AH946" s="1579"/>
      <c r="AI946" s="1579"/>
      <c r="AJ946" s="1579"/>
      <c r="AK946" s="158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69"/>
      <c r="N951" s="1270"/>
      <c r="O951" s="1270"/>
      <c r="P951" s="1270"/>
      <c r="Q951" s="1270"/>
      <c r="R951" s="1270"/>
      <c r="S951" s="1271"/>
      <c r="T951" s="72" t="s">
        <v>950</v>
      </c>
      <c r="U951" s="9"/>
      <c r="V951" s="9"/>
      <c r="W951" s="9"/>
      <c r="X951" s="9"/>
      <c r="Y951" s="9"/>
      <c r="Z951" s="52"/>
      <c r="AA951" s="1269"/>
      <c r="AB951" s="1270"/>
      <c r="AC951" s="1270"/>
      <c r="AD951" s="1270"/>
      <c r="AE951" s="1270"/>
      <c r="AF951" s="1270"/>
      <c r="AG951" s="1271"/>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69"/>
      <c r="N952" s="1270"/>
      <c r="O952" s="1270"/>
      <c r="P952" s="1270"/>
      <c r="Q952" s="1270"/>
      <c r="R952" s="1270"/>
      <c r="S952" s="1271"/>
      <c r="T952" s="72" t="s">
        <v>949</v>
      </c>
      <c r="U952" s="9"/>
      <c r="V952" s="9"/>
      <c r="W952" s="9"/>
      <c r="X952" s="9"/>
      <c r="Y952" s="9"/>
      <c r="Z952" s="52"/>
      <c r="AA952" s="1269"/>
      <c r="AB952" s="1270"/>
      <c r="AC952" s="1270"/>
      <c r="AD952" s="1270"/>
      <c r="AE952" s="1270"/>
      <c r="AF952" s="1270"/>
      <c r="AG952" s="127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326" t="s">
        <v>124</v>
      </c>
      <c r="N953" s="1065"/>
      <c r="O953" s="1065"/>
      <c r="P953" s="1065"/>
      <c r="Q953" s="1065"/>
      <c r="R953" s="1065"/>
      <c r="S953" s="1327"/>
      <c r="T953" s="8" t="s">
        <v>566</v>
      </c>
      <c r="U953" s="9"/>
      <c r="V953" s="9"/>
      <c r="W953" s="9"/>
      <c r="X953" s="9"/>
      <c r="Y953" s="9"/>
      <c r="Z953" s="52"/>
      <c r="AA953" s="1269"/>
      <c r="AB953" s="1270"/>
      <c r="AC953" s="1270"/>
      <c r="AD953" s="1270"/>
      <c r="AE953" s="1270"/>
      <c r="AF953" s="1270"/>
      <c r="AG953" s="127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69"/>
      <c r="N954" s="1270"/>
      <c r="O954" s="1270"/>
      <c r="P954" s="1270"/>
      <c r="Q954" s="1270"/>
      <c r="R954" s="1270"/>
      <c r="S954" s="1271"/>
      <c r="T954" s="8" t="s">
        <v>567</v>
      </c>
      <c r="U954" s="9"/>
      <c r="V954" s="9"/>
      <c r="W954" s="9"/>
      <c r="X954" s="9"/>
      <c r="Y954" s="9"/>
      <c r="Z954" s="52"/>
      <c r="AA954" s="1269"/>
      <c r="AB954" s="1270"/>
      <c r="AC954" s="1270"/>
      <c r="AD954" s="1270"/>
      <c r="AE954" s="1270"/>
      <c r="AF954" s="1270"/>
      <c r="AG954" s="127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69"/>
      <c r="N955" s="1270"/>
      <c r="O955" s="1270"/>
      <c r="P955" s="1270"/>
      <c r="Q955" s="1270"/>
      <c r="R955" s="1270"/>
      <c r="S955" s="1271"/>
      <c r="T955" s="8" t="s">
        <v>493</v>
      </c>
      <c r="U955" s="9"/>
      <c r="V955" s="9"/>
      <c r="W955" s="9"/>
      <c r="X955" s="9"/>
      <c r="Y955" s="9"/>
      <c r="Z955" s="52"/>
      <c r="AA955" s="1269"/>
      <c r="AB955" s="1270"/>
      <c r="AC955" s="1270"/>
      <c r="AD955" s="1270"/>
      <c r="AE955" s="1270"/>
      <c r="AF955" s="1270"/>
      <c r="AG955" s="127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447" t="s">
        <v>79</v>
      </c>
      <c r="N956" s="1448"/>
      <c r="O956" s="1448"/>
      <c r="P956" s="1448"/>
      <c r="Q956" s="1448"/>
      <c r="R956" s="1448"/>
      <c r="S956" s="1449"/>
      <c r="T956" s="1266"/>
      <c r="U956" s="1267"/>
      <c r="V956" s="1267"/>
      <c r="W956" s="1267"/>
      <c r="X956" s="1267"/>
      <c r="Y956" s="1267"/>
      <c r="Z956" s="1268"/>
      <c r="AA956" s="1269"/>
      <c r="AB956" s="1270"/>
      <c r="AC956" s="1270"/>
      <c r="AD956" s="1270"/>
      <c r="AE956" s="1270"/>
      <c r="AF956" s="1270"/>
      <c r="AG956" s="127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69"/>
      <c r="N957" s="1270"/>
      <c r="O957" s="1270"/>
      <c r="P957" s="1270"/>
      <c r="Q957" s="1270"/>
      <c r="R957" s="1270"/>
      <c r="S957" s="1271"/>
      <c r="T957" s="1266"/>
      <c r="U957" s="1267"/>
      <c r="V957" s="1267"/>
      <c r="W957" s="1267"/>
      <c r="X957" s="1267"/>
      <c r="Y957" s="1267"/>
      <c r="Z957" s="1268"/>
      <c r="AA957" s="1269"/>
      <c r="AB957" s="1270"/>
      <c r="AC957" s="1270"/>
      <c r="AD957" s="1270"/>
      <c r="AE957" s="1270"/>
      <c r="AF957" s="1270"/>
      <c r="AG957" s="1271"/>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26" t="s">
        <v>482</v>
      </c>
      <c r="P958" s="1327"/>
      <c r="Q958" s="144"/>
      <c r="R958" s="144"/>
      <c r="S958" s="145"/>
      <c r="T958" s="6" t="s">
        <v>283</v>
      </c>
      <c r="U958" s="7"/>
      <c r="V958" s="7"/>
      <c r="W958" s="1482" t="s">
        <v>562</v>
      </c>
      <c r="X958" s="1483"/>
      <c r="Y958" s="1483"/>
      <c r="Z958" s="1483"/>
      <c r="AA958" s="1483"/>
      <c r="AB958" s="1483"/>
      <c r="AC958" s="1483"/>
      <c r="AD958" s="1483"/>
      <c r="AE958" s="1483"/>
      <c r="AF958" s="1483"/>
      <c r="AG958" s="1484"/>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81" t="s">
        <v>226</v>
      </c>
      <c r="G959" s="1306"/>
      <c r="H959" s="1306"/>
      <c r="I959" s="1306"/>
      <c r="J959" s="1306"/>
      <c r="K959" s="1306"/>
      <c r="L959" s="1306"/>
      <c r="M959" s="1269"/>
      <c r="N959" s="1270"/>
      <c r="O959" s="1270"/>
      <c r="P959" s="1270"/>
      <c r="Q959" s="1270"/>
      <c r="R959" s="1270"/>
      <c r="S959" s="1271"/>
      <c r="T959" s="53"/>
      <c r="U959" s="54"/>
      <c r="V959" s="54"/>
      <c r="W959" s="54"/>
      <c r="X959" s="54"/>
      <c r="Y959" s="54"/>
      <c r="Z959" s="224" t="s">
        <v>227</v>
      </c>
      <c r="AA959" s="1485"/>
      <c r="AB959" s="1486"/>
      <c r="AC959" s="1486"/>
      <c r="AD959" s="1486"/>
      <c r="AE959" s="1486"/>
      <c r="AF959" s="1486"/>
      <c r="AG959" s="148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134" t="s">
        <v>129</v>
      </c>
      <c r="B963" s="1134"/>
      <c r="C963" s="1134"/>
      <c r="D963" s="1134"/>
      <c r="E963" s="1134"/>
      <c r="F963" s="1134"/>
      <c r="G963" s="1134"/>
      <c r="H963" s="1134"/>
      <c r="I963" s="1134"/>
      <c r="J963" s="1134"/>
      <c r="K963" s="1134"/>
      <c r="L963" s="1134"/>
      <c r="M963" s="1134"/>
      <c r="N963" s="1134"/>
      <c r="O963" s="1134"/>
      <c r="P963" s="1134"/>
      <c r="Q963" s="1134"/>
      <c r="R963" s="1134"/>
      <c r="S963" s="1134"/>
      <c r="T963" s="1134"/>
      <c r="U963" s="1134"/>
      <c r="V963" s="1134"/>
      <c r="W963" s="1134"/>
      <c r="X963" s="1134"/>
      <c r="Y963" s="1134"/>
      <c r="Z963" s="1134"/>
      <c r="AA963" s="1134"/>
      <c r="AB963" s="1134"/>
      <c r="AC963" s="1134"/>
      <c r="AD963" s="1134"/>
      <c r="AE963" s="1134"/>
      <c r="AF963" s="1134"/>
      <c r="AG963" s="1134"/>
      <c r="AH963" s="1134"/>
      <c r="AI963" s="1134"/>
      <c r="AJ963" s="1134"/>
      <c r="AK963" s="1134"/>
      <c r="AL963" s="1134"/>
      <c r="AM963" s="1134"/>
      <c r="AN963" s="1134"/>
      <c r="AO963" s="1134"/>
      <c r="AP963" s="1134"/>
      <c r="AQ963" s="1134"/>
      <c r="AR963" s="1134"/>
      <c r="AS963" s="1134"/>
      <c r="AT963" s="1134"/>
    </row>
    <row r="964" spans="1:97" s="956" customFormat="1" ht="12.95" customHeight="1">
      <c r="A964" s="1134"/>
      <c r="B964" s="1134"/>
      <c r="C964" s="1134"/>
      <c r="D964" s="1134"/>
      <c r="E964" s="1134"/>
      <c r="F964" s="1134"/>
      <c r="G964" s="1134"/>
      <c r="H964" s="1134"/>
      <c r="I964" s="1134"/>
      <c r="J964" s="1134"/>
      <c r="K964" s="1134"/>
      <c r="L964" s="1134"/>
      <c r="M964" s="1134"/>
      <c r="N964" s="1134"/>
      <c r="O964" s="1134"/>
      <c r="P964" s="1134"/>
      <c r="Q964" s="1134"/>
      <c r="R964" s="1134"/>
      <c r="S964" s="1134"/>
      <c r="T964" s="1134"/>
      <c r="U964" s="1134"/>
      <c r="V964" s="1134"/>
      <c r="W964" s="1134"/>
      <c r="X964" s="1134"/>
      <c r="Y964" s="1134"/>
      <c r="Z964" s="1134"/>
      <c r="AA964" s="1134"/>
      <c r="AB964" s="1134"/>
      <c r="AC964" s="1134"/>
      <c r="AD964" s="1134"/>
      <c r="AE964" s="1134"/>
      <c r="AF964" s="1134"/>
      <c r="AG964" s="1134"/>
      <c r="AH964" s="1134"/>
      <c r="AI964" s="1134"/>
      <c r="AJ964" s="1134"/>
      <c r="AK964" s="1134"/>
      <c r="AL964" s="1134"/>
      <c r="AM964" s="1134"/>
      <c r="AN964" s="1134"/>
      <c r="AO964" s="1134"/>
      <c r="AP964" s="1134"/>
      <c r="AQ964" s="1134"/>
      <c r="AR964" s="1134"/>
      <c r="AS964" s="1134"/>
      <c r="AT964" s="1134"/>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79" t="s">
        <v>424</v>
      </c>
      <c r="E968" s="1480"/>
      <c r="F968" s="1480"/>
      <c r="G968" s="1480"/>
      <c r="H968" s="1480"/>
      <c r="I968" s="1480"/>
      <c r="J968" s="1480"/>
      <c r="K968" s="1480"/>
      <c r="L968" s="1480"/>
      <c r="M968" s="1480"/>
      <c r="N968" s="1480"/>
      <c r="O968" s="1480"/>
      <c r="P968" s="1480"/>
      <c r="Q968" s="1481"/>
      <c r="R968" s="1479" t="s">
        <v>425</v>
      </c>
      <c r="S968" s="1480"/>
      <c r="T968" s="1480"/>
      <c r="U968" s="1480"/>
      <c r="V968" s="1480"/>
      <c r="W968" s="1480"/>
      <c r="X968" s="1480"/>
      <c r="Y968" s="1480"/>
      <c r="Z968" s="1480"/>
      <c r="AA968" s="1481"/>
      <c r="AB968" s="1479" t="s">
        <v>426</v>
      </c>
      <c r="AC968" s="1480"/>
      <c r="AD968" s="1480"/>
      <c r="AE968" s="1480"/>
      <c r="AF968" s="1480"/>
      <c r="AG968" s="1480"/>
      <c r="AH968" s="1480"/>
      <c r="AI968" s="1481"/>
      <c r="AJ968" s="1479" t="s">
        <v>427</v>
      </c>
      <c r="AK968" s="1480"/>
      <c r="AL968" s="1480"/>
      <c r="AM968" s="1480"/>
      <c r="AN968" s="1480"/>
      <c r="AO968" s="1480"/>
      <c r="AP968" s="1480"/>
      <c r="AQ968" s="148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72" t="s">
        <v>419</v>
      </c>
      <c r="E969" s="1273"/>
      <c r="F969" s="1273"/>
      <c r="G969" s="1273"/>
      <c r="H969" s="1273"/>
      <c r="I969" s="1273"/>
      <c r="J969" s="1273"/>
      <c r="K969" s="1273"/>
      <c r="L969" s="1273"/>
      <c r="M969" s="1273"/>
      <c r="N969" s="1273"/>
      <c r="O969" s="1273"/>
      <c r="P969" s="1273"/>
      <c r="Q969" s="1274"/>
      <c r="R969" s="1161">
        <f>IF(ISNA(IF($BA$827="4%",(INDEX($BC$833:$BG$889,MATCH($BO$833,$BB$842:$BB$899,0),MATCH(D969,$BC$830:$BG$830,0))),(INDEX($BJ$842:$BN$899,MATCH($BO$833,$BI$842:$BI$899,0),MATCH(D969,$BJ$840:$BN$840,0))))),0,IF($BA$827="4%",(INDEX($BC$833:$BG$889,MATCH($BO$833,$BB$842:$BB$899,0),MATCH(D969,$BC$830:$BG$830,0))),(INDEX($BJ$842:$BN$899,MATCH($BO$833,$BI$842:$BI$899,0),MATCH(D969,$BJ$840:$BN$840,0)))))</f>
        <v>384234</v>
      </c>
      <c r="S969" s="1161"/>
      <c r="T969" s="1161"/>
      <c r="U969" s="1161"/>
      <c r="V969" s="1161"/>
      <c r="W969" s="1161"/>
      <c r="X969" s="1161"/>
      <c r="Y969" s="1161"/>
      <c r="Z969" s="1161"/>
      <c r="AA969" s="1161"/>
      <c r="AB969" s="1476">
        <f>BN659</f>
        <v>0</v>
      </c>
      <c r="AC969" s="1477"/>
      <c r="AD969" s="1477"/>
      <c r="AE969" s="1477"/>
      <c r="AF969" s="1477"/>
      <c r="AG969" s="1477"/>
      <c r="AH969" s="1477"/>
      <c r="AI969" s="1478"/>
      <c r="AJ969" s="1263">
        <f>IF(ISERROR((R969*AB969)),0,(R969*AB969))</f>
        <v>0</v>
      </c>
      <c r="AK969" s="1264"/>
      <c r="AL969" s="1264"/>
      <c r="AM969" s="1264"/>
      <c r="AN969" s="1264"/>
      <c r="AO969" s="1264"/>
      <c r="AP969" s="1264"/>
      <c r="AQ969" s="12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72" t="s">
        <v>442</v>
      </c>
      <c r="E970" s="1273"/>
      <c r="F970" s="1273"/>
      <c r="G970" s="1273"/>
      <c r="H970" s="1273"/>
      <c r="I970" s="1273"/>
      <c r="J970" s="1273"/>
      <c r="K970" s="1273"/>
      <c r="L970" s="1273"/>
      <c r="M970" s="1273"/>
      <c r="N970" s="1273"/>
      <c r="O970" s="1273"/>
      <c r="P970" s="1273"/>
      <c r="Q970" s="1274"/>
      <c r="R970" s="1161">
        <f>IF(ISNA(IF($BA$827="4%",(INDEX($BC$833:$BG$889,MATCH($BO$833,$BB$842:$BB$899,0),MATCH(D970,$BC$830:$BG$830,0))),(INDEX($BJ$842:$BN$899,MATCH($BO$833,$BI$842:$BI$899,0),MATCH(D970,$BJ$840:$BN$840,0))))),0,IF($BA$827="4%",(INDEX($BC$833:$BG$889,MATCH($BO$833,$BB$842:$BB$899,0),MATCH(D970,$BC$830:$BG$830,0))),(INDEX($BJ$842:$BN$899,MATCH($BO$833,$BI$842:$BI$899,0),MATCH(D970,$BJ$840:$BN$840,0)))))</f>
        <v>443018</v>
      </c>
      <c r="S970" s="1161"/>
      <c r="T970" s="1161"/>
      <c r="U970" s="1161"/>
      <c r="V970" s="1161"/>
      <c r="W970" s="1161"/>
      <c r="X970" s="1161"/>
      <c r="Y970" s="1161"/>
      <c r="Z970" s="1161"/>
      <c r="AA970" s="1161"/>
      <c r="AB970" s="1476">
        <f>BS659</f>
        <v>13</v>
      </c>
      <c r="AC970" s="1477"/>
      <c r="AD970" s="1477"/>
      <c r="AE970" s="1477"/>
      <c r="AF970" s="1477"/>
      <c r="AG970" s="1477"/>
      <c r="AH970" s="1477"/>
      <c r="AI970" s="1478"/>
      <c r="AJ970" s="1263">
        <f>IF(ISERROR((R970*AB970)),0,(R970*AB970))</f>
        <v>5759234</v>
      </c>
      <c r="AK970" s="1264"/>
      <c r="AL970" s="1264"/>
      <c r="AM970" s="1264"/>
      <c r="AN970" s="1264"/>
      <c r="AO970" s="1264"/>
      <c r="AP970" s="1264"/>
      <c r="AQ970" s="126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72" t="s">
        <v>780</v>
      </c>
      <c r="E971" s="1273"/>
      <c r="F971" s="1273"/>
      <c r="G971" s="1273"/>
      <c r="H971" s="1273"/>
      <c r="I971" s="1273"/>
      <c r="J971" s="1273"/>
      <c r="K971" s="1273"/>
      <c r="L971" s="1273"/>
      <c r="M971" s="1273"/>
      <c r="N971" s="1273"/>
      <c r="O971" s="1273"/>
      <c r="P971" s="1273"/>
      <c r="Q971" s="1274"/>
      <c r="R971" s="1161">
        <f>IF(ISNA(IF($BA$827="4%",(INDEX($BC$833:$BG$889,MATCH($BO$833,$BB$842:$BB$899,0),MATCH(D971,$BC$830:$BG$830,0))),(INDEX($BJ$842:$BN$899,MATCH($BO$833,$BI$842:$BI$899,0),MATCH(D971,$BJ$840:$BN$840,0))))),0,IF($BA$827="4%",(INDEX($BC$833:$BG$889,MATCH($BO$833,$BB$842:$BB$899,0),MATCH(D971,$BC$830:$BG$830,0))),(INDEX($BJ$842:$BN$899,MATCH($BO$833,$BI$842:$BI$899,0),MATCH(D971,$BJ$840:$BN$840,0)))))</f>
        <v>534400</v>
      </c>
      <c r="S971" s="1161"/>
      <c r="T971" s="1161"/>
      <c r="U971" s="1161"/>
      <c r="V971" s="1161"/>
      <c r="W971" s="1161"/>
      <c r="X971" s="1161"/>
      <c r="Y971" s="1161"/>
      <c r="Z971" s="1161"/>
      <c r="AA971" s="1161"/>
      <c r="AB971" s="1476">
        <f>BX659</f>
        <v>24</v>
      </c>
      <c r="AC971" s="1477"/>
      <c r="AD971" s="1477"/>
      <c r="AE971" s="1477"/>
      <c r="AF971" s="1477"/>
      <c r="AG971" s="1477"/>
      <c r="AH971" s="1477"/>
      <c r="AI971" s="1478"/>
      <c r="AJ971" s="1263">
        <f>IF(ISERROR((R971*AB971)),0,(R971*AB971))</f>
        <v>12825600</v>
      </c>
      <c r="AK971" s="1264"/>
      <c r="AL971" s="1264"/>
      <c r="AM971" s="1264"/>
      <c r="AN971" s="1264"/>
      <c r="AO971" s="1264"/>
      <c r="AP971" s="1264"/>
      <c r="AQ971" s="126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72" t="s">
        <v>781</v>
      </c>
      <c r="E972" s="1273"/>
      <c r="F972" s="1273"/>
      <c r="G972" s="1273"/>
      <c r="H972" s="1273"/>
      <c r="I972" s="1273"/>
      <c r="J972" s="1273"/>
      <c r="K972" s="1273"/>
      <c r="L972" s="1273"/>
      <c r="M972" s="1273"/>
      <c r="N972" s="1273"/>
      <c r="O972" s="1273"/>
      <c r="P972" s="1273"/>
      <c r="Q972" s="1274"/>
      <c r="R972" s="1161">
        <f>IF(ISNA(IF($BA$827="4%",(INDEX($BC$833:$BG$889,MATCH($BO$833,$BB$842:$BB$899,0),MATCH(D972,$BC$830:$BG$830,0))),(INDEX($BJ$842:$BN$899,MATCH($BO$833,$BI$842:$BI$899,0),MATCH(D972,$BJ$840:$BN$840,0))))),0,IF($BA$827="4%",(INDEX($BC$833:$BG$889,MATCH($BO$833,$BB$842:$BB$899,0),MATCH(D972,$BC$830:$BG$830,0))),(INDEX($BJ$842:$BN$899,MATCH($BO$833,$BI$842:$BI$899,0),MATCH(D972,$BJ$840:$BN$840,0)))))</f>
        <v>684032</v>
      </c>
      <c r="S972" s="1161"/>
      <c r="T972" s="1161"/>
      <c r="U972" s="1161"/>
      <c r="V972" s="1161"/>
      <c r="W972" s="1161"/>
      <c r="X972" s="1161"/>
      <c r="Y972" s="1161"/>
      <c r="Z972" s="1161"/>
      <c r="AA972" s="1161"/>
      <c r="AB972" s="1476">
        <f>CC659</f>
        <v>13</v>
      </c>
      <c r="AC972" s="1477"/>
      <c r="AD972" s="1477"/>
      <c r="AE972" s="1477"/>
      <c r="AF972" s="1477"/>
      <c r="AG972" s="1477"/>
      <c r="AH972" s="1477"/>
      <c r="AI972" s="1478"/>
      <c r="AJ972" s="1263">
        <f>IF(ISERROR((R972*AB972)),0,(R972*AB972))</f>
        <v>8892416</v>
      </c>
      <c r="AK972" s="1264"/>
      <c r="AL972" s="1264"/>
      <c r="AM972" s="1264"/>
      <c r="AN972" s="1264"/>
      <c r="AO972" s="1264"/>
      <c r="AP972" s="1264"/>
      <c r="AQ972" s="126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72" t="s">
        <v>791</v>
      </c>
      <c r="E973" s="1273"/>
      <c r="F973" s="1273"/>
      <c r="G973" s="1273"/>
      <c r="H973" s="1273"/>
      <c r="I973" s="1273"/>
      <c r="J973" s="1273"/>
      <c r="K973" s="1273"/>
      <c r="L973" s="1273"/>
      <c r="M973" s="1273"/>
      <c r="N973" s="1273"/>
      <c r="O973" s="1273"/>
      <c r="P973" s="1273"/>
      <c r="Q973" s="1274"/>
      <c r="R973" s="1161">
        <f>IF(ISNA(IF($BA$827="4%",(INDEX($BC$833:$BG$889,MATCH($BO$833,$BB$842:$BB$899,0),MATCH(D973,$BC$830:$BG$830,0))),(INDEX($BJ$842:$BN$899,MATCH($BO$833,$BI$842:$BI$899,0),MATCH(D973,$BJ$840:$BN$840,0))))),0,IF($BA$827="4%",(INDEX($BC$833:$BG$889,MATCH($BO$833,$BB$842:$BB$899,0),MATCH(D973,$BC$830:$BG$830,0))),(INDEX($BJ$842:$BN$899,MATCH($BO$833,$BI$842:$BI$899,0),MATCH(D973,$BJ$840:$BN$840,0)))))</f>
        <v>762054</v>
      </c>
      <c r="S973" s="1161"/>
      <c r="T973" s="1161"/>
      <c r="U973" s="1161"/>
      <c r="V973" s="1161"/>
      <c r="W973" s="1161"/>
      <c r="X973" s="1161"/>
      <c r="Y973" s="1161"/>
      <c r="Z973" s="1161"/>
      <c r="AA973" s="1161"/>
      <c r="AB973" s="1476">
        <f>CM659+CH659</f>
        <v>0</v>
      </c>
      <c r="AC973" s="1477"/>
      <c r="AD973" s="1477"/>
      <c r="AE973" s="1477"/>
      <c r="AF973" s="1477"/>
      <c r="AG973" s="1477"/>
      <c r="AH973" s="1477"/>
      <c r="AI973" s="1478"/>
      <c r="AJ973" s="1263">
        <f>IF(ISERROR((R973*AB973)),0,(R973*AB973))</f>
        <v>0</v>
      </c>
      <c r="AK973" s="1264"/>
      <c r="AL973" s="1264"/>
      <c r="AM973" s="1264"/>
      <c r="AN973" s="1264"/>
      <c r="AO973" s="1264"/>
      <c r="AP973" s="1264"/>
      <c r="AQ973" s="126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69" t="s">
        <v>960</v>
      </c>
      <c r="C974" s="1170"/>
      <c r="D974" s="1170"/>
      <c r="E974" s="1170"/>
      <c r="F974" s="1170"/>
      <c r="G974" s="1170"/>
      <c r="H974" s="1170"/>
      <c r="I974" s="1170"/>
      <c r="J974" s="1170"/>
      <c r="K974" s="1170"/>
      <c r="L974" s="1170"/>
      <c r="M974" s="1170"/>
      <c r="N974" s="1170"/>
      <c r="O974" s="1170"/>
      <c r="P974" s="1170"/>
      <c r="Q974" s="1170"/>
      <c r="R974" s="1170"/>
      <c r="S974" s="1170"/>
      <c r="T974" s="1170"/>
      <c r="U974" s="1170"/>
      <c r="V974" s="1170"/>
      <c r="W974" s="1170"/>
      <c r="X974" s="1170"/>
      <c r="Y974" s="1170"/>
      <c r="Z974" s="1170"/>
      <c r="AA974" s="1171"/>
      <c r="AB974" s="1476">
        <f>SUM(AB969:AI973)</f>
        <v>50</v>
      </c>
      <c r="AC974" s="1477"/>
      <c r="AD974" s="1477"/>
      <c r="AE974" s="1477"/>
      <c r="AF974" s="1477"/>
      <c r="AG974" s="1477"/>
      <c r="AH974" s="1477"/>
      <c r="AI974" s="1478"/>
      <c r="AJ974" s="1263"/>
      <c r="AK974" s="1264"/>
      <c r="AL974" s="1264"/>
      <c r="AM974" s="1264"/>
      <c r="AN974" s="1264"/>
      <c r="AO974" s="1264"/>
      <c r="AP974" s="1264"/>
      <c r="AQ974" s="126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98" t="s">
        <v>747</v>
      </c>
      <c r="C975" s="1499"/>
      <c r="D975" s="1499"/>
      <c r="E975" s="1499"/>
      <c r="F975" s="1499"/>
      <c r="G975" s="1499"/>
      <c r="H975" s="1499"/>
      <c r="I975" s="1499"/>
      <c r="J975" s="1499"/>
      <c r="K975" s="1499"/>
      <c r="L975" s="1499"/>
      <c r="M975" s="1499"/>
      <c r="N975" s="1499"/>
      <c r="O975" s="1499"/>
      <c r="P975" s="1499"/>
      <c r="Q975" s="1499"/>
      <c r="R975" s="1499"/>
      <c r="S975" s="1499"/>
      <c r="T975" s="1499"/>
      <c r="U975" s="1499"/>
      <c r="V975" s="1499"/>
      <c r="W975" s="1499"/>
      <c r="X975" s="1499"/>
      <c r="Y975" s="1499"/>
      <c r="Z975" s="1499"/>
      <c r="AA975" s="1499"/>
      <c r="AB975" s="1499"/>
      <c r="AC975" s="1499"/>
      <c r="AD975" s="1499"/>
      <c r="AE975" s="1499"/>
      <c r="AF975" s="1499"/>
      <c r="AG975" s="1499"/>
      <c r="AH975" s="1499"/>
      <c r="AI975" s="1500"/>
      <c r="AJ975" s="1263">
        <f>SUM(AJ969:AQ973)</f>
        <v>27477250</v>
      </c>
      <c r="AK975" s="1264"/>
      <c r="AL975" s="1264"/>
      <c r="AM975" s="1264"/>
      <c r="AN975" s="1264"/>
      <c r="AO975" s="1264"/>
      <c r="AP975" s="1264"/>
      <c r="AQ975" s="126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60"/>
      <c r="C976" s="1261"/>
      <c r="D976" s="1261"/>
      <c r="E976" s="1261"/>
      <c r="F976" s="1261"/>
      <c r="G976" s="1261"/>
      <c r="H976" s="1261"/>
      <c r="I976" s="1261"/>
      <c r="J976" s="1261"/>
      <c r="K976" s="1261"/>
      <c r="L976" s="1261"/>
      <c r="M976" s="1261"/>
      <c r="N976" s="1261"/>
      <c r="O976" s="1261"/>
      <c r="P976" s="1261"/>
      <c r="Q976" s="1261"/>
      <c r="R976" s="1261"/>
      <c r="S976" s="1261"/>
      <c r="T976" s="1261"/>
      <c r="U976" s="1261"/>
      <c r="V976" s="1261"/>
      <c r="W976" s="1261"/>
      <c r="X976" s="1261"/>
      <c r="Y976" s="1261"/>
      <c r="Z976" s="1261"/>
      <c r="AA976" s="1261"/>
      <c r="AB976" s="1261"/>
      <c r="AC976" s="1261"/>
      <c r="AD976" s="1261"/>
      <c r="AE976" s="1262"/>
      <c r="AF976" s="1257" t="s">
        <v>479</v>
      </c>
      <c r="AG976" s="1258"/>
      <c r="AH976" s="1258"/>
      <c r="AI976" s="1259"/>
      <c r="AJ976" s="1260"/>
      <c r="AK976" s="1261"/>
      <c r="AL976" s="1261"/>
      <c r="AM976" s="1261"/>
      <c r="AN976" s="1261"/>
      <c r="AO976" s="1261"/>
      <c r="AP976" s="1261"/>
      <c r="AQ976" s="126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62" t="s">
        <v>1878</v>
      </c>
      <c r="E977" s="1163"/>
      <c r="F977" s="1163"/>
      <c r="G977" s="1163"/>
      <c r="H977" s="1163"/>
      <c r="I977" s="1163"/>
      <c r="J977" s="1163"/>
      <c r="K977" s="1163"/>
      <c r="L977" s="1163"/>
      <c r="M977" s="1163"/>
      <c r="N977" s="1163"/>
      <c r="O977" s="1163"/>
      <c r="P977" s="1163"/>
      <c r="Q977" s="1163"/>
      <c r="R977" s="1163"/>
      <c r="S977" s="1163"/>
      <c r="T977" s="1163"/>
      <c r="U977" s="1163"/>
      <c r="V977" s="1163"/>
      <c r="W977" s="1163"/>
      <c r="X977" s="1163"/>
      <c r="Y977" s="1163"/>
      <c r="Z977" s="1163"/>
      <c r="AA977" s="1163"/>
      <c r="AB977" s="1163"/>
      <c r="AC977" s="1163"/>
      <c r="AD977" s="1163"/>
      <c r="AE977" s="1164"/>
      <c r="AF977" s="82"/>
      <c r="AG977" s="1167" t="s">
        <v>482</v>
      </c>
      <c r="AH977" s="1168"/>
      <c r="AI977" s="85"/>
      <c r="AJ977" s="1184">
        <f>ROUND(IF(AND(AG977="yes",D983&lt;&gt;""),AJ975*0.2,0),0)</f>
        <v>0</v>
      </c>
      <c r="AK977" s="1185"/>
      <c r="AL977" s="1185"/>
      <c r="AM977" s="1185"/>
      <c r="AN977" s="1185"/>
      <c r="AO977" s="1185"/>
      <c r="AP977" s="1185"/>
      <c r="AQ977" s="118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88" t="s">
        <v>2308</v>
      </c>
      <c r="E978" s="1489"/>
      <c r="F978" s="1489"/>
      <c r="G978" s="1489"/>
      <c r="H978" s="1489"/>
      <c r="I978" s="1489"/>
      <c r="J978" s="1489"/>
      <c r="K978" s="1489"/>
      <c r="L978" s="1489"/>
      <c r="M978" s="1489"/>
      <c r="N978" s="1489"/>
      <c r="O978" s="1489"/>
      <c r="P978" s="1489"/>
      <c r="Q978" s="1489"/>
      <c r="R978" s="1489"/>
      <c r="S978" s="1489"/>
      <c r="T978" s="1489"/>
      <c r="U978" s="1489"/>
      <c r="V978" s="1489"/>
      <c r="W978" s="1489"/>
      <c r="X978" s="1489"/>
      <c r="Y978" s="1489"/>
      <c r="Z978" s="1489"/>
      <c r="AA978" s="1489"/>
      <c r="AB978" s="1489"/>
      <c r="AC978" s="1489"/>
      <c r="AD978" s="1489"/>
      <c r="AE978" s="1490"/>
      <c r="AF978" s="79"/>
      <c r="AG978" s="21"/>
      <c r="AH978" s="21"/>
      <c r="AI978" s="83"/>
      <c r="AJ978" s="1187"/>
      <c r="AK978" s="1188"/>
      <c r="AL978" s="1188"/>
      <c r="AM978" s="1188"/>
      <c r="AN978" s="1188"/>
      <c r="AO978" s="1188"/>
      <c r="AP978" s="1188"/>
      <c r="AQ978" s="118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88"/>
      <c r="E979" s="1489"/>
      <c r="F979" s="1489"/>
      <c r="G979" s="1489"/>
      <c r="H979" s="1489"/>
      <c r="I979" s="1489"/>
      <c r="J979" s="1489"/>
      <c r="K979" s="1489"/>
      <c r="L979" s="1489"/>
      <c r="M979" s="1489"/>
      <c r="N979" s="1489"/>
      <c r="O979" s="1489"/>
      <c r="P979" s="1489"/>
      <c r="Q979" s="1489"/>
      <c r="R979" s="1489"/>
      <c r="S979" s="1489"/>
      <c r="T979" s="1489"/>
      <c r="U979" s="1489"/>
      <c r="V979" s="1489"/>
      <c r="W979" s="1489"/>
      <c r="X979" s="1489"/>
      <c r="Y979" s="1489"/>
      <c r="Z979" s="1489"/>
      <c r="AA979" s="1489"/>
      <c r="AB979" s="1489"/>
      <c r="AC979" s="1489"/>
      <c r="AD979" s="1489"/>
      <c r="AE979" s="1490"/>
      <c r="AF979" s="79"/>
      <c r="AG979" s="21"/>
      <c r="AH979" s="21"/>
      <c r="AI979" s="83"/>
      <c r="AJ979" s="1187"/>
      <c r="AK979" s="1188"/>
      <c r="AL979" s="1188"/>
      <c r="AM979" s="1188"/>
      <c r="AN979" s="1188"/>
      <c r="AO979" s="1188"/>
      <c r="AP979" s="1188"/>
      <c r="AQ979" s="118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88"/>
      <c r="E980" s="1489"/>
      <c r="F980" s="1489"/>
      <c r="G980" s="1489"/>
      <c r="H980" s="1489"/>
      <c r="I980" s="1489"/>
      <c r="J980" s="1489"/>
      <c r="K980" s="1489"/>
      <c r="L980" s="1489"/>
      <c r="M980" s="1489"/>
      <c r="N980" s="1489"/>
      <c r="O980" s="1489"/>
      <c r="P980" s="1489"/>
      <c r="Q980" s="1489"/>
      <c r="R980" s="1489"/>
      <c r="S980" s="1489"/>
      <c r="T980" s="1489"/>
      <c r="U980" s="1489"/>
      <c r="V980" s="1489"/>
      <c r="W980" s="1489"/>
      <c r="X980" s="1489"/>
      <c r="Y980" s="1489"/>
      <c r="Z980" s="1489"/>
      <c r="AA980" s="1489"/>
      <c r="AB980" s="1489"/>
      <c r="AC980" s="1489"/>
      <c r="AD980" s="1489"/>
      <c r="AE980" s="1490"/>
      <c r="AF980" s="79"/>
      <c r="AG980" s="21"/>
      <c r="AH980" s="21"/>
      <c r="AI980" s="83"/>
      <c r="AJ980" s="1187"/>
      <c r="AK980" s="1188"/>
      <c r="AL980" s="1188"/>
      <c r="AM980" s="1188"/>
      <c r="AN980" s="1188"/>
      <c r="AO980" s="1188"/>
      <c r="AP980" s="1188"/>
      <c r="AQ980" s="118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88"/>
      <c r="E981" s="1489"/>
      <c r="F981" s="1489"/>
      <c r="G981" s="1489"/>
      <c r="H981" s="1489"/>
      <c r="I981" s="1489"/>
      <c r="J981" s="1489"/>
      <c r="K981" s="1489"/>
      <c r="L981" s="1489"/>
      <c r="M981" s="1489"/>
      <c r="N981" s="1489"/>
      <c r="O981" s="1489"/>
      <c r="P981" s="1489"/>
      <c r="Q981" s="1489"/>
      <c r="R981" s="1489"/>
      <c r="S981" s="1489"/>
      <c r="T981" s="1489"/>
      <c r="U981" s="1489"/>
      <c r="V981" s="1489"/>
      <c r="W981" s="1489"/>
      <c r="X981" s="1489"/>
      <c r="Y981" s="1489"/>
      <c r="Z981" s="1489"/>
      <c r="AA981" s="1489"/>
      <c r="AB981" s="1489"/>
      <c r="AC981" s="1489"/>
      <c r="AD981" s="1489"/>
      <c r="AE981" s="1490"/>
      <c r="AF981" s="79"/>
      <c r="AG981" s="21"/>
      <c r="AH981" s="21"/>
      <c r="AI981" s="83"/>
      <c r="AJ981" s="1187"/>
      <c r="AK981" s="1188"/>
      <c r="AL981" s="1188"/>
      <c r="AM981" s="1188"/>
      <c r="AN981" s="1188"/>
      <c r="AO981" s="1188"/>
      <c r="AP981" s="1188"/>
      <c r="AQ981" s="118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91" t="s">
        <v>2257</v>
      </c>
      <c r="E982" s="1492"/>
      <c r="F982" s="1492"/>
      <c r="G982" s="1492"/>
      <c r="H982" s="1492"/>
      <c r="I982" s="1492"/>
      <c r="J982" s="1492"/>
      <c r="K982" s="1492"/>
      <c r="L982" s="1492"/>
      <c r="M982" s="1492"/>
      <c r="N982" s="1492"/>
      <c r="O982" s="1492"/>
      <c r="P982" s="1492"/>
      <c r="Q982" s="1492"/>
      <c r="R982" s="1492"/>
      <c r="S982" s="1492"/>
      <c r="T982" s="1492"/>
      <c r="U982" s="1492"/>
      <c r="V982" s="1492"/>
      <c r="W982" s="1492"/>
      <c r="X982" s="1492"/>
      <c r="Y982" s="1492"/>
      <c r="Z982" s="1492"/>
      <c r="AA982" s="1492"/>
      <c r="AB982" s="1492"/>
      <c r="AC982" s="1492"/>
      <c r="AD982" s="1492"/>
      <c r="AE982" s="1493"/>
      <c r="AF982" s="79"/>
      <c r="AG982" s="21"/>
      <c r="AH982" s="21"/>
      <c r="AI982" s="83"/>
      <c r="AJ982" s="1187"/>
      <c r="AK982" s="1188"/>
      <c r="AL982" s="1188"/>
      <c r="AM982" s="1188"/>
      <c r="AN982" s="1188"/>
      <c r="AO982" s="1188"/>
      <c r="AP982" s="1188"/>
      <c r="AQ982" s="118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73"/>
      <c r="E983" s="1474"/>
      <c r="F983" s="1474"/>
      <c r="G983" s="1474"/>
      <c r="H983" s="1474"/>
      <c r="I983" s="1474"/>
      <c r="J983" s="1474"/>
      <c r="K983" s="1474"/>
      <c r="L983" s="1474"/>
      <c r="M983" s="1474"/>
      <c r="N983" s="1474"/>
      <c r="O983" s="1474"/>
      <c r="P983" s="1474"/>
      <c r="Q983" s="1474"/>
      <c r="R983" s="1474"/>
      <c r="S983" s="1474"/>
      <c r="T983" s="1474"/>
      <c r="U983" s="1474"/>
      <c r="V983" s="1474"/>
      <c r="W983" s="1474"/>
      <c r="X983" s="1474"/>
      <c r="Y983" s="1474"/>
      <c r="Z983" s="1474"/>
      <c r="AA983" s="1474"/>
      <c r="AB983" s="1474"/>
      <c r="AC983" s="1474"/>
      <c r="AD983" s="1474"/>
      <c r="AE983" s="1475"/>
      <c r="AF983" s="80"/>
      <c r="AG983" s="11"/>
      <c r="AH983" s="11"/>
      <c r="AI983" s="81"/>
      <c r="AJ983" s="1190"/>
      <c r="AK983" s="1191"/>
      <c r="AL983" s="1191"/>
      <c r="AM983" s="1191"/>
      <c r="AN983" s="1191"/>
      <c r="AO983" s="1191"/>
      <c r="AP983" s="1191"/>
      <c r="AQ983" s="119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207" t="s">
        <v>1985</v>
      </c>
      <c r="E984" s="1208"/>
      <c r="F984" s="1208"/>
      <c r="G984" s="1208"/>
      <c r="H984" s="1208"/>
      <c r="I984" s="1208"/>
      <c r="J984" s="1208"/>
      <c r="K984" s="1208"/>
      <c r="L984" s="1208"/>
      <c r="M984" s="1208"/>
      <c r="N984" s="1208"/>
      <c r="O984" s="1208"/>
      <c r="P984" s="1208"/>
      <c r="Q984" s="1208"/>
      <c r="R984" s="1208"/>
      <c r="S984" s="1208"/>
      <c r="T984" s="1208"/>
      <c r="U984" s="1208"/>
      <c r="V984" s="1208"/>
      <c r="W984" s="1208"/>
      <c r="X984" s="1208"/>
      <c r="Y984" s="1208"/>
      <c r="Z984" s="1208"/>
      <c r="AA984" s="1208"/>
      <c r="AB984" s="1208"/>
      <c r="AC984" s="1208"/>
      <c r="AD984" s="1208"/>
      <c r="AE984" s="1209"/>
      <c r="AF984" s="82"/>
      <c r="AG984" s="1165" t="s">
        <v>482</v>
      </c>
      <c r="AH984" s="1166"/>
      <c r="AI984" s="85"/>
      <c r="AJ984" s="1184">
        <f>ROUND(IF(AG984="yes",AJ975*0.05,0),0)</f>
        <v>0</v>
      </c>
      <c r="AK984" s="1185"/>
      <c r="AL984" s="1185"/>
      <c r="AM984" s="1185"/>
      <c r="AN984" s="1185"/>
      <c r="AO984" s="1185"/>
      <c r="AP984" s="1185"/>
      <c r="AQ984" s="1186"/>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88" t="s">
        <v>1879</v>
      </c>
      <c r="E985" s="1489"/>
      <c r="F985" s="1489"/>
      <c r="G985" s="1489"/>
      <c r="H985" s="1489"/>
      <c r="I985" s="1489"/>
      <c r="J985" s="1489"/>
      <c r="K985" s="1489"/>
      <c r="L985" s="1489"/>
      <c r="M985" s="1489"/>
      <c r="N985" s="1489"/>
      <c r="O985" s="1489"/>
      <c r="P985" s="1489"/>
      <c r="Q985" s="1489"/>
      <c r="R985" s="1489"/>
      <c r="S985" s="1489"/>
      <c r="T985" s="1489"/>
      <c r="U985" s="1489"/>
      <c r="V985" s="1489"/>
      <c r="W985" s="1489"/>
      <c r="X985" s="1489"/>
      <c r="Y985" s="1489"/>
      <c r="Z985" s="1489"/>
      <c r="AA985" s="1489"/>
      <c r="AB985" s="1489"/>
      <c r="AC985" s="1489"/>
      <c r="AD985" s="1489"/>
      <c r="AE985" s="1490"/>
      <c r="AF985" s="79"/>
      <c r="AG985" s="21"/>
      <c r="AH985" s="21"/>
      <c r="AI985" s="83"/>
      <c r="AJ985" s="1187"/>
      <c r="AK985" s="1188"/>
      <c r="AL985" s="1188"/>
      <c r="AM985" s="1188"/>
      <c r="AN985" s="1188"/>
      <c r="AO985" s="1188"/>
      <c r="AP985" s="1188"/>
      <c r="AQ985" s="1189"/>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88"/>
      <c r="E986" s="1489"/>
      <c r="F986" s="1489"/>
      <c r="G986" s="1489"/>
      <c r="H986" s="1489"/>
      <c r="I986" s="1489"/>
      <c r="J986" s="1489"/>
      <c r="K986" s="1489"/>
      <c r="L986" s="1489"/>
      <c r="M986" s="1489"/>
      <c r="N986" s="1489"/>
      <c r="O986" s="1489"/>
      <c r="P986" s="1489"/>
      <c r="Q986" s="1489"/>
      <c r="R986" s="1489"/>
      <c r="S986" s="1489"/>
      <c r="T986" s="1489"/>
      <c r="U986" s="1489"/>
      <c r="V986" s="1489"/>
      <c r="W986" s="1489"/>
      <c r="X986" s="1489"/>
      <c r="Y986" s="1489"/>
      <c r="Z986" s="1489"/>
      <c r="AA986" s="1489"/>
      <c r="AB986" s="1489"/>
      <c r="AC986" s="1489"/>
      <c r="AD986" s="1489"/>
      <c r="AE986" s="1490"/>
      <c r="AF986" s="79"/>
      <c r="AG986" s="21"/>
      <c r="AH986" s="21"/>
      <c r="AI986" s="83"/>
      <c r="AJ986" s="1187"/>
      <c r="AK986" s="1188"/>
      <c r="AL986" s="1188"/>
      <c r="AM986" s="1188"/>
      <c r="AN986" s="1188"/>
      <c r="AO986" s="1188"/>
      <c r="AP986" s="1188"/>
      <c r="AQ986" s="1189"/>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88"/>
      <c r="E987" s="1489"/>
      <c r="F987" s="1489"/>
      <c r="G987" s="1489"/>
      <c r="H987" s="1489"/>
      <c r="I987" s="1489"/>
      <c r="J987" s="1489"/>
      <c r="K987" s="1489"/>
      <c r="L987" s="1489"/>
      <c r="M987" s="1489"/>
      <c r="N987" s="1489"/>
      <c r="O987" s="1489"/>
      <c r="P987" s="1489"/>
      <c r="Q987" s="1489"/>
      <c r="R987" s="1489"/>
      <c r="S987" s="1489"/>
      <c r="T987" s="1489"/>
      <c r="U987" s="1489"/>
      <c r="V987" s="1489"/>
      <c r="W987" s="1489"/>
      <c r="X987" s="1489"/>
      <c r="Y987" s="1489"/>
      <c r="Z987" s="1489"/>
      <c r="AA987" s="1489"/>
      <c r="AB987" s="1489"/>
      <c r="AC987" s="1489"/>
      <c r="AD987" s="1489"/>
      <c r="AE987" s="1490"/>
      <c r="AF987" s="79"/>
      <c r="AG987" s="21"/>
      <c r="AH987" s="21"/>
      <c r="AI987" s="83"/>
      <c r="AJ987" s="1187"/>
      <c r="AK987" s="1188"/>
      <c r="AL987" s="1188"/>
      <c r="AM987" s="1188"/>
      <c r="AN987" s="1188"/>
      <c r="AO987" s="1188"/>
      <c r="AP987" s="1188"/>
      <c r="AQ987" s="1189"/>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88"/>
      <c r="E988" s="1489"/>
      <c r="F988" s="1489"/>
      <c r="G988" s="1489"/>
      <c r="H988" s="1489"/>
      <c r="I988" s="1489"/>
      <c r="J988" s="1489"/>
      <c r="K988" s="1489"/>
      <c r="L988" s="1489"/>
      <c r="M988" s="1489"/>
      <c r="N988" s="1489"/>
      <c r="O988" s="1489"/>
      <c r="P988" s="1489"/>
      <c r="Q988" s="1489"/>
      <c r="R988" s="1489"/>
      <c r="S988" s="1489"/>
      <c r="T988" s="1489"/>
      <c r="U988" s="1489"/>
      <c r="V988" s="1489"/>
      <c r="W988" s="1489"/>
      <c r="X988" s="1489"/>
      <c r="Y988" s="1489"/>
      <c r="Z988" s="1489"/>
      <c r="AA988" s="1489"/>
      <c r="AB988" s="1489"/>
      <c r="AC988" s="1489"/>
      <c r="AD988" s="1489"/>
      <c r="AE988" s="1490"/>
      <c r="AF988" s="79"/>
      <c r="AG988" s="21"/>
      <c r="AH988" s="21"/>
      <c r="AI988" s="83"/>
      <c r="AJ988" s="1187"/>
      <c r="AK988" s="1188"/>
      <c r="AL988" s="1188"/>
      <c r="AM988" s="1188"/>
      <c r="AN988" s="1188"/>
      <c r="AO988" s="1188"/>
      <c r="AP988" s="1188"/>
      <c r="AQ988" s="1189"/>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91"/>
      <c r="E989" s="1492"/>
      <c r="F989" s="1492"/>
      <c r="G989" s="1492"/>
      <c r="H989" s="1492"/>
      <c r="I989" s="1492"/>
      <c r="J989" s="1492"/>
      <c r="K989" s="1492"/>
      <c r="L989" s="1492"/>
      <c r="M989" s="1492"/>
      <c r="N989" s="1492"/>
      <c r="O989" s="1492"/>
      <c r="P989" s="1492"/>
      <c r="Q989" s="1492"/>
      <c r="R989" s="1492"/>
      <c r="S989" s="1492"/>
      <c r="T989" s="1492"/>
      <c r="U989" s="1492"/>
      <c r="V989" s="1492"/>
      <c r="W989" s="1492"/>
      <c r="X989" s="1492"/>
      <c r="Y989" s="1492"/>
      <c r="Z989" s="1492"/>
      <c r="AA989" s="1492"/>
      <c r="AB989" s="1492"/>
      <c r="AC989" s="1492"/>
      <c r="AD989" s="1492"/>
      <c r="AE989" s="1493"/>
      <c r="AF989" s="80"/>
      <c r="AG989" s="11"/>
      <c r="AH989" s="11"/>
      <c r="AI989" s="81"/>
      <c r="AJ989" s="1190"/>
      <c r="AK989" s="1191"/>
      <c r="AL989" s="1191"/>
      <c r="AM989" s="1191"/>
      <c r="AN989" s="1191"/>
      <c r="AO989" s="1191"/>
      <c r="AP989" s="1191"/>
      <c r="AQ989" s="1192"/>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207" t="s">
        <v>1986</v>
      </c>
      <c r="E990" s="1208"/>
      <c r="F990" s="1208"/>
      <c r="G990" s="1208"/>
      <c r="H990" s="1208"/>
      <c r="I990" s="1208"/>
      <c r="J990" s="1208"/>
      <c r="K990" s="1208"/>
      <c r="L990" s="1208"/>
      <c r="M990" s="1208"/>
      <c r="N990" s="1208"/>
      <c r="O990" s="1208"/>
      <c r="P990" s="1208"/>
      <c r="Q990" s="1208"/>
      <c r="R990" s="1208"/>
      <c r="S990" s="1208"/>
      <c r="T990" s="1208"/>
      <c r="U990" s="1208"/>
      <c r="V990" s="1208"/>
      <c r="W990" s="1208"/>
      <c r="X990" s="1208"/>
      <c r="Y990" s="1208"/>
      <c r="Z990" s="1208"/>
      <c r="AA990" s="1208"/>
      <c r="AB990" s="1208"/>
      <c r="AC990" s="1208"/>
      <c r="AD990" s="1208"/>
      <c r="AE990" s="1209"/>
      <c r="AF990" s="84"/>
      <c r="AG990" s="1165" t="s">
        <v>482</v>
      </c>
      <c r="AH990" s="1166"/>
      <c r="AI990" s="85"/>
      <c r="AJ990" s="1184">
        <f>ROUND(IF(AG990="yes",AJ975*0.1,0),0)</f>
        <v>0</v>
      </c>
      <c r="AK990" s="1185"/>
      <c r="AL990" s="1185"/>
      <c r="AM990" s="1185"/>
      <c r="AN990" s="1185"/>
      <c r="AO990" s="1185"/>
      <c r="AP990" s="1185"/>
      <c r="AQ990" s="1186"/>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200" t="s">
        <v>1987</v>
      </c>
      <c r="E991" s="1201"/>
      <c r="F991" s="1201"/>
      <c r="G991" s="1201"/>
      <c r="H991" s="1201"/>
      <c r="I991" s="1201"/>
      <c r="J991" s="1201"/>
      <c r="K991" s="1201"/>
      <c r="L991" s="1201"/>
      <c r="M991" s="1201"/>
      <c r="N991" s="1201"/>
      <c r="O991" s="1201"/>
      <c r="P991" s="1201"/>
      <c r="Q991" s="1201"/>
      <c r="R991" s="1201"/>
      <c r="S991" s="1201"/>
      <c r="T991" s="1201"/>
      <c r="U991" s="1201"/>
      <c r="V991" s="1201"/>
      <c r="W991" s="1201"/>
      <c r="X991" s="1201"/>
      <c r="Y991" s="1201"/>
      <c r="Z991" s="1201"/>
      <c r="AA991" s="1201"/>
      <c r="AB991" s="1201"/>
      <c r="AC991" s="1201"/>
      <c r="AD991" s="1201"/>
      <c r="AE991" s="1202"/>
      <c r="AF991" s="79"/>
      <c r="AI991" s="83"/>
      <c r="AJ991" s="1187"/>
      <c r="AK991" s="1188"/>
      <c r="AL991" s="1188"/>
      <c r="AM991" s="1188"/>
      <c r="AN991" s="1188"/>
      <c r="AO991" s="1188"/>
      <c r="AP991" s="1188"/>
      <c r="AQ991" s="1189"/>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200"/>
      <c r="E992" s="1201"/>
      <c r="F992" s="1201"/>
      <c r="G992" s="1201"/>
      <c r="H992" s="1201"/>
      <c r="I992" s="1201"/>
      <c r="J992" s="1201"/>
      <c r="K992" s="1201"/>
      <c r="L992" s="1201"/>
      <c r="M992" s="1201"/>
      <c r="N992" s="1201"/>
      <c r="O992" s="1201"/>
      <c r="P992" s="1201"/>
      <c r="Q992" s="1201"/>
      <c r="R992" s="1201"/>
      <c r="S992" s="1201"/>
      <c r="T992" s="1201"/>
      <c r="U992" s="1201"/>
      <c r="V992" s="1201"/>
      <c r="W992" s="1201"/>
      <c r="X992" s="1201"/>
      <c r="Y992" s="1201"/>
      <c r="Z992" s="1201"/>
      <c r="AA992" s="1201"/>
      <c r="AB992" s="1201"/>
      <c r="AC992" s="1201"/>
      <c r="AD992" s="1201"/>
      <c r="AE992" s="1202"/>
      <c r="AF992" s="79"/>
      <c r="AG992" s="21"/>
      <c r="AH992" s="21"/>
      <c r="AI992" s="83"/>
      <c r="AJ992" s="1187"/>
      <c r="AK992" s="1188"/>
      <c r="AL992" s="1188"/>
      <c r="AM992" s="1188"/>
      <c r="AN992" s="1188"/>
      <c r="AO992" s="1188"/>
      <c r="AP992" s="1188"/>
      <c r="AQ992" s="1189"/>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203"/>
      <c r="E993" s="1204"/>
      <c r="F993" s="1204"/>
      <c r="G993" s="1204"/>
      <c r="H993" s="1204"/>
      <c r="I993" s="1204"/>
      <c r="J993" s="1204"/>
      <c r="K993" s="1204"/>
      <c r="L993" s="1204"/>
      <c r="M993" s="1204"/>
      <c r="N993" s="1204"/>
      <c r="O993" s="1204"/>
      <c r="P993" s="1204"/>
      <c r="Q993" s="1204"/>
      <c r="R993" s="1204"/>
      <c r="S993" s="1204"/>
      <c r="T993" s="1204"/>
      <c r="U993" s="1204"/>
      <c r="V993" s="1204"/>
      <c r="W993" s="1204"/>
      <c r="X993" s="1204"/>
      <c r="Y993" s="1204"/>
      <c r="Z993" s="1204"/>
      <c r="AA993" s="1204"/>
      <c r="AB993" s="1204"/>
      <c r="AC993" s="1204"/>
      <c r="AD993" s="1204"/>
      <c r="AE993" s="1205"/>
      <c r="AF993" s="80"/>
      <c r="AG993" s="11"/>
      <c r="AH993" s="11"/>
      <c r="AI993" s="81"/>
      <c r="AJ993" s="1190"/>
      <c r="AK993" s="1191"/>
      <c r="AL993" s="1191"/>
      <c r="AM993" s="1191"/>
      <c r="AN993" s="1191"/>
      <c r="AO993" s="1191"/>
      <c r="AP993" s="1191"/>
      <c r="AQ993" s="1192"/>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207" t="s">
        <v>1880</v>
      </c>
      <c r="E994" s="1208"/>
      <c r="F994" s="1208"/>
      <c r="G994" s="1208"/>
      <c r="H994" s="1208"/>
      <c r="I994" s="1208"/>
      <c r="J994" s="1208"/>
      <c r="K994" s="1208"/>
      <c r="L994" s="1208"/>
      <c r="M994" s="1208"/>
      <c r="N994" s="1208"/>
      <c r="O994" s="1208"/>
      <c r="P994" s="1208"/>
      <c r="Q994" s="1208"/>
      <c r="R994" s="1208"/>
      <c r="S994" s="1208"/>
      <c r="T994" s="1208"/>
      <c r="U994" s="1208"/>
      <c r="V994" s="1208"/>
      <c r="W994" s="1208"/>
      <c r="X994" s="1208"/>
      <c r="Y994" s="1208"/>
      <c r="Z994" s="1208"/>
      <c r="AA994" s="1208"/>
      <c r="AB994" s="1208"/>
      <c r="AC994" s="1208"/>
      <c r="AD994" s="1208"/>
      <c r="AE994" s="1209"/>
      <c r="AF994" s="82"/>
      <c r="AG994" s="1165" t="s">
        <v>482</v>
      </c>
      <c r="AH994" s="1166"/>
      <c r="AI994" s="85"/>
      <c r="AJ994" s="1184">
        <f>ROUND(IF(AG994="yes",AJ975*0.02,0),0)</f>
        <v>0</v>
      </c>
      <c r="AK994" s="1185"/>
      <c r="AL994" s="1185"/>
      <c r="AM994" s="1185"/>
      <c r="AN994" s="1185"/>
      <c r="AO994" s="1185"/>
      <c r="AP994" s="1185"/>
      <c r="AQ994" s="1186"/>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203" t="s">
        <v>1881</v>
      </c>
      <c r="E995" s="1204"/>
      <c r="F995" s="1204"/>
      <c r="G995" s="1204"/>
      <c r="H995" s="1204"/>
      <c r="I995" s="1204"/>
      <c r="J995" s="1204"/>
      <c r="K995" s="1204"/>
      <c r="L995" s="1204"/>
      <c r="M995" s="1204"/>
      <c r="N995" s="1204"/>
      <c r="O995" s="1204"/>
      <c r="P995" s="1204"/>
      <c r="Q995" s="1204"/>
      <c r="R995" s="1204"/>
      <c r="S995" s="1204"/>
      <c r="T995" s="1204"/>
      <c r="U995" s="1204"/>
      <c r="V995" s="1204"/>
      <c r="W995" s="1204"/>
      <c r="X995" s="1204"/>
      <c r="Y995" s="1204"/>
      <c r="Z995" s="1204"/>
      <c r="AA995" s="1204"/>
      <c r="AB995" s="1204"/>
      <c r="AC995" s="1204"/>
      <c r="AD995" s="1204"/>
      <c r="AE995" s="1205"/>
      <c r="AF995" s="80"/>
      <c r="AG995" s="11"/>
      <c r="AH995" s="11"/>
      <c r="AI995" s="81"/>
      <c r="AJ995" s="1190"/>
      <c r="AK995" s="1191"/>
      <c r="AL995" s="1191"/>
      <c r="AM995" s="1191"/>
      <c r="AN995" s="1191"/>
      <c r="AO995" s="1191"/>
      <c r="AP995" s="1191"/>
      <c r="AQ995" s="1192"/>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207" t="s">
        <v>1882</v>
      </c>
      <c r="E996" s="1208"/>
      <c r="F996" s="1208"/>
      <c r="G996" s="1208"/>
      <c r="H996" s="1208"/>
      <c r="I996" s="1208"/>
      <c r="J996" s="1208"/>
      <c r="K996" s="1208"/>
      <c r="L996" s="1208"/>
      <c r="M996" s="1208"/>
      <c r="N996" s="1208"/>
      <c r="O996" s="1208"/>
      <c r="P996" s="1208"/>
      <c r="Q996" s="1208"/>
      <c r="R996" s="1208"/>
      <c r="S996" s="1208"/>
      <c r="T996" s="1208"/>
      <c r="U996" s="1208"/>
      <c r="V996" s="1208"/>
      <c r="W996" s="1208"/>
      <c r="X996" s="1208"/>
      <c r="Y996" s="1208"/>
      <c r="Z996" s="1208"/>
      <c r="AA996" s="1208"/>
      <c r="AB996" s="1208"/>
      <c r="AC996" s="1208"/>
      <c r="AD996" s="1208"/>
      <c r="AE996" s="1209"/>
      <c r="AF996" s="82"/>
      <c r="AG996" s="1165" t="s">
        <v>482</v>
      </c>
      <c r="AH996" s="1166"/>
      <c r="AI996" s="82"/>
      <c r="AJ996" s="1184">
        <f>ROUND(IF(AG996="yes",AJ975*0.02,0),0)</f>
        <v>0</v>
      </c>
      <c r="AK996" s="1185"/>
      <c r="AL996" s="1185"/>
      <c r="AM996" s="1185"/>
      <c r="AN996" s="1185"/>
      <c r="AO996" s="1185"/>
      <c r="AP996" s="1185"/>
      <c r="AQ996" s="1186"/>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200" t="s">
        <v>1883</v>
      </c>
      <c r="E997" s="1201"/>
      <c r="F997" s="1201"/>
      <c r="G997" s="1201"/>
      <c r="H997" s="1201"/>
      <c r="I997" s="1201"/>
      <c r="J997" s="1201"/>
      <c r="K997" s="1201"/>
      <c r="L997" s="1201"/>
      <c r="M997" s="1201"/>
      <c r="N997" s="1201"/>
      <c r="O997" s="1201"/>
      <c r="P997" s="1201"/>
      <c r="Q997" s="1201"/>
      <c r="R997" s="1201"/>
      <c r="S997" s="1201"/>
      <c r="T997" s="1201"/>
      <c r="U997" s="1201"/>
      <c r="V997" s="1201"/>
      <c r="W997" s="1201"/>
      <c r="X997" s="1201"/>
      <c r="Y997" s="1201"/>
      <c r="Z997" s="1201"/>
      <c r="AA997" s="1201"/>
      <c r="AB997" s="1201"/>
      <c r="AC997" s="1201"/>
      <c r="AD997" s="1201"/>
      <c r="AE997" s="1202"/>
      <c r="AF997" s="1135" t="str">
        <f>IF(AND(AG996="yes",V215&lt;&gt;1),"The project may not be eligible for this boost","")</f>
        <v/>
      </c>
      <c r="AG997" s="1136"/>
      <c r="AH997" s="1136"/>
      <c r="AI997" s="1137"/>
      <c r="AJ997" s="1187"/>
      <c r="AK997" s="1188"/>
      <c r="AL997" s="1188"/>
      <c r="AM997" s="1188"/>
      <c r="AN997" s="1188"/>
      <c r="AO997" s="1188"/>
      <c r="AP997" s="1188"/>
      <c r="AQ997" s="1189"/>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203"/>
      <c r="E998" s="1204"/>
      <c r="F998" s="1204"/>
      <c r="G998" s="1204"/>
      <c r="H998" s="1204"/>
      <c r="I998" s="1204"/>
      <c r="J998" s="1204"/>
      <c r="K998" s="1204"/>
      <c r="L998" s="1204"/>
      <c r="M998" s="1204"/>
      <c r="N998" s="1204"/>
      <c r="O998" s="1204"/>
      <c r="P998" s="1204"/>
      <c r="Q998" s="1204"/>
      <c r="R998" s="1204"/>
      <c r="S998" s="1204"/>
      <c r="T998" s="1204"/>
      <c r="U998" s="1204"/>
      <c r="V998" s="1204"/>
      <c r="W998" s="1204"/>
      <c r="X998" s="1204"/>
      <c r="Y998" s="1204"/>
      <c r="Z998" s="1204"/>
      <c r="AA998" s="1204"/>
      <c r="AB998" s="1204"/>
      <c r="AC998" s="1204"/>
      <c r="AD998" s="1204"/>
      <c r="AE998" s="1205"/>
      <c r="AF998" s="1138"/>
      <c r="AG998" s="1139"/>
      <c r="AH998" s="1139"/>
      <c r="AI998" s="1140"/>
      <c r="AJ998" s="1190"/>
      <c r="AK998" s="1191"/>
      <c r="AL998" s="1191"/>
      <c r="AM998" s="1191"/>
      <c r="AN998" s="1191"/>
      <c r="AO998" s="1191"/>
      <c r="AP998" s="1191"/>
      <c r="AQ998" s="1192"/>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62" t="s">
        <v>1884</v>
      </c>
      <c r="E999" s="1163"/>
      <c r="F999" s="1163"/>
      <c r="G999" s="1163"/>
      <c r="H999" s="1163"/>
      <c r="I999" s="1163"/>
      <c r="J999" s="1163"/>
      <c r="K999" s="1163"/>
      <c r="L999" s="1163"/>
      <c r="M999" s="1163"/>
      <c r="N999" s="1163"/>
      <c r="O999" s="1163"/>
      <c r="P999" s="1163"/>
      <c r="Q999" s="1163"/>
      <c r="R999" s="1163"/>
      <c r="S999" s="1163"/>
      <c r="T999" s="1163"/>
      <c r="U999" s="1163"/>
      <c r="V999" s="1163"/>
      <c r="W999" s="1163"/>
      <c r="X999" s="1163"/>
      <c r="Y999" s="1163"/>
      <c r="Z999" s="1163"/>
      <c r="AA999" s="1163"/>
      <c r="AB999" s="1163"/>
      <c r="AC999" s="1163"/>
      <c r="AD999" s="1163"/>
      <c r="AE999" s="1164"/>
      <c r="AF999" s="82"/>
      <c r="AG999" s="1165" t="s">
        <v>482</v>
      </c>
      <c r="AH999" s="1166"/>
      <c r="AI999" s="85"/>
      <c r="AJ999" s="1184">
        <f>IF(AG999="yes",AJ975*BA1000,0)</f>
        <v>0</v>
      </c>
      <c r="AK999" s="1185"/>
      <c r="AL999" s="1185"/>
      <c r="AM999" s="1185"/>
      <c r="AN999" s="1185"/>
      <c r="AO999" s="1185"/>
      <c r="AP999" s="1185"/>
      <c r="AQ999" s="1186"/>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200" t="s">
        <v>1988</v>
      </c>
      <c r="E1000" s="1201"/>
      <c r="F1000" s="1201"/>
      <c r="G1000" s="1201"/>
      <c r="H1000" s="1201"/>
      <c r="I1000" s="1201"/>
      <c r="J1000" s="1201"/>
      <c r="K1000" s="1201"/>
      <c r="L1000" s="1201"/>
      <c r="M1000" s="1201"/>
      <c r="N1000" s="1201"/>
      <c r="O1000" s="1201"/>
      <c r="P1000" s="1201"/>
      <c r="Q1000" s="1201"/>
      <c r="R1000" s="1201"/>
      <c r="S1000" s="1201"/>
      <c r="T1000" s="1201"/>
      <c r="U1000" s="1201"/>
      <c r="V1000" s="1201"/>
      <c r="W1000" s="1201"/>
      <c r="X1000" s="1201"/>
      <c r="Y1000" s="1201"/>
      <c r="Z1000" s="1201"/>
      <c r="AA1000" s="1201"/>
      <c r="AB1000" s="1201"/>
      <c r="AC1000" s="1201"/>
      <c r="AD1000" s="1201"/>
      <c r="AE1000" s="1202"/>
      <c r="AF1000" s="1219" t="str">
        <f>IF(AND(AG999="Yes",BA1000=0),BA1002,"")</f>
        <v/>
      </c>
      <c r="AG1000" s="1220"/>
      <c r="AH1000" s="1220"/>
      <c r="AI1000" s="1221"/>
      <c r="AJ1000" s="1187"/>
      <c r="AK1000" s="1188"/>
      <c r="AL1000" s="1188"/>
      <c r="AM1000" s="1188"/>
      <c r="AN1000" s="1188"/>
      <c r="AO1000" s="1188"/>
      <c r="AP1000" s="1188"/>
      <c r="AQ1000" s="1189"/>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200"/>
      <c r="E1001" s="1201"/>
      <c r="F1001" s="1201"/>
      <c r="G1001" s="1201"/>
      <c r="H1001" s="1201"/>
      <c r="I1001" s="1201"/>
      <c r="J1001" s="1201"/>
      <c r="K1001" s="1201"/>
      <c r="L1001" s="1201"/>
      <c r="M1001" s="1201"/>
      <c r="N1001" s="1201"/>
      <c r="O1001" s="1201"/>
      <c r="P1001" s="1201"/>
      <c r="Q1001" s="1201"/>
      <c r="R1001" s="1201"/>
      <c r="S1001" s="1201"/>
      <c r="T1001" s="1201"/>
      <c r="U1001" s="1201"/>
      <c r="V1001" s="1201"/>
      <c r="W1001" s="1201"/>
      <c r="X1001" s="1201"/>
      <c r="Y1001" s="1201"/>
      <c r="Z1001" s="1201"/>
      <c r="AA1001" s="1201"/>
      <c r="AB1001" s="1201"/>
      <c r="AC1001" s="1201"/>
      <c r="AD1001" s="1201"/>
      <c r="AE1001" s="1202"/>
      <c r="AF1001" s="1219"/>
      <c r="AG1001" s="1220"/>
      <c r="AH1001" s="1220"/>
      <c r="AI1001" s="1221"/>
      <c r="AJ1001" s="1187"/>
      <c r="AK1001" s="1188"/>
      <c r="AL1001" s="1188"/>
      <c r="AM1001" s="1188"/>
      <c r="AN1001" s="1188"/>
      <c r="AO1001" s="1188"/>
      <c r="AP1001" s="1188"/>
      <c r="AQ1001" s="1189"/>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203"/>
      <c r="E1002" s="1204"/>
      <c r="F1002" s="1204"/>
      <c r="G1002" s="1204"/>
      <c r="H1002" s="1204"/>
      <c r="I1002" s="1204"/>
      <c r="J1002" s="1204"/>
      <c r="K1002" s="1204"/>
      <c r="L1002" s="1204"/>
      <c r="M1002" s="1204"/>
      <c r="N1002" s="1204"/>
      <c r="O1002" s="1204"/>
      <c r="P1002" s="1204"/>
      <c r="Q1002" s="1204"/>
      <c r="R1002" s="1204"/>
      <c r="S1002" s="1204"/>
      <c r="T1002" s="1204"/>
      <c r="U1002" s="1204"/>
      <c r="V1002" s="1204"/>
      <c r="W1002" s="1204"/>
      <c r="X1002" s="1204"/>
      <c r="Y1002" s="1204"/>
      <c r="Z1002" s="1204"/>
      <c r="AA1002" s="1204"/>
      <c r="AB1002" s="1204"/>
      <c r="AC1002" s="1204"/>
      <c r="AD1002" s="1204"/>
      <c r="AE1002" s="1205"/>
      <c r="AF1002" s="1222"/>
      <c r="AG1002" s="1223"/>
      <c r="AH1002" s="1223"/>
      <c r="AI1002" s="1224"/>
      <c r="AJ1002" s="1190"/>
      <c r="AK1002" s="1191"/>
      <c r="AL1002" s="1191"/>
      <c r="AM1002" s="1191"/>
      <c r="AN1002" s="1191"/>
      <c r="AO1002" s="1191"/>
      <c r="AP1002" s="1191"/>
      <c r="AQ1002" s="1192"/>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210" t="s">
        <v>1885</v>
      </c>
      <c r="E1003" s="1211"/>
      <c r="F1003" s="1211"/>
      <c r="G1003" s="1211"/>
      <c r="H1003" s="1211"/>
      <c r="I1003" s="1211"/>
      <c r="J1003" s="1211"/>
      <c r="K1003" s="1211"/>
      <c r="L1003" s="1211"/>
      <c r="M1003" s="1211"/>
      <c r="N1003" s="1211"/>
      <c r="O1003" s="1211"/>
      <c r="P1003" s="1211"/>
      <c r="Q1003" s="1211"/>
      <c r="R1003" s="1211"/>
      <c r="S1003" s="1211"/>
      <c r="T1003" s="1211"/>
      <c r="U1003" s="1211"/>
      <c r="V1003" s="1211"/>
      <c r="W1003" s="1211"/>
      <c r="X1003" s="1211"/>
      <c r="Y1003" s="1211"/>
      <c r="Z1003" s="1211"/>
      <c r="AA1003" s="1211"/>
      <c r="AB1003" s="1211"/>
      <c r="AC1003" s="1211"/>
      <c r="AD1003" s="1211"/>
      <c r="AE1003" s="1212"/>
      <c r="AF1003" s="82"/>
      <c r="AG1003" s="1165" t="s">
        <v>482</v>
      </c>
      <c r="AH1003" s="1166"/>
      <c r="AI1003" s="85"/>
      <c r="AJ1003" s="1184">
        <f>ROUND(IF(AND(AG1003="Yes",AF1006&lt;&gt;"",J1007&lt;&gt;"N/A"),MIN(AF1006,(0.15*AJ975)),0),0)</f>
        <v>0</v>
      </c>
      <c r="AK1003" s="1185"/>
      <c r="AL1003" s="1185"/>
      <c r="AM1003" s="1185"/>
      <c r="AN1003" s="1185"/>
      <c r="AO1003" s="1185"/>
      <c r="AP1003" s="1185"/>
      <c r="AQ1003" s="1186"/>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213"/>
      <c r="E1004" s="1214"/>
      <c r="F1004" s="1214"/>
      <c r="G1004" s="1214"/>
      <c r="H1004" s="1214"/>
      <c r="I1004" s="1214"/>
      <c r="J1004" s="1214"/>
      <c r="K1004" s="1214"/>
      <c r="L1004" s="1214"/>
      <c r="M1004" s="1214"/>
      <c r="N1004" s="1214"/>
      <c r="O1004" s="1214"/>
      <c r="P1004" s="1214"/>
      <c r="Q1004" s="1214"/>
      <c r="R1004" s="1214"/>
      <c r="S1004" s="1214"/>
      <c r="T1004" s="1214"/>
      <c r="U1004" s="1214"/>
      <c r="V1004" s="1214"/>
      <c r="W1004" s="1214"/>
      <c r="X1004" s="1214"/>
      <c r="Y1004" s="1214"/>
      <c r="Z1004" s="1214"/>
      <c r="AA1004" s="1214"/>
      <c r="AB1004" s="1214"/>
      <c r="AC1004" s="1214"/>
      <c r="AD1004" s="1214"/>
      <c r="AE1004" s="1215"/>
      <c r="AF1004" s="1219" t="str">
        <f>IF(AG1003="yes","Please Select Type and Enter Amount:","")</f>
        <v/>
      </c>
      <c r="AG1004" s="1220"/>
      <c r="AH1004" s="1220"/>
      <c r="AI1004" s="1221"/>
      <c r="AJ1004" s="1187"/>
      <c r="AK1004" s="1188"/>
      <c r="AL1004" s="1188"/>
      <c r="AM1004" s="1188"/>
      <c r="AN1004" s="1188"/>
      <c r="AO1004" s="1188"/>
      <c r="AP1004" s="1188"/>
      <c r="AQ1004" s="1189"/>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200" t="s">
        <v>1886</v>
      </c>
      <c r="E1005" s="1201"/>
      <c r="F1005" s="1201"/>
      <c r="G1005" s="1201"/>
      <c r="H1005" s="1201"/>
      <c r="I1005" s="1201"/>
      <c r="J1005" s="1201"/>
      <c r="K1005" s="1201"/>
      <c r="L1005" s="1201"/>
      <c r="M1005" s="1201"/>
      <c r="N1005" s="1201"/>
      <c r="O1005" s="1201"/>
      <c r="P1005" s="1201"/>
      <c r="Q1005" s="1201"/>
      <c r="R1005" s="1201"/>
      <c r="S1005" s="1201"/>
      <c r="T1005" s="1201"/>
      <c r="U1005" s="1201"/>
      <c r="V1005" s="1201"/>
      <c r="W1005" s="1201"/>
      <c r="X1005" s="1201"/>
      <c r="Y1005" s="1201"/>
      <c r="Z1005" s="1201"/>
      <c r="AA1005" s="1201"/>
      <c r="AB1005" s="1201"/>
      <c r="AC1005" s="1201"/>
      <c r="AD1005" s="1201"/>
      <c r="AE1005" s="1202"/>
      <c r="AF1005" s="1219"/>
      <c r="AG1005" s="1220"/>
      <c r="AH1005" s="1220"/>
      <c r="AI1005" s="1221"/>
      <c r="AJ1005" s="1187"/>
      <c r="AK1005" s="1188"/>
      <c r="AL1005" s="1188"/>
      <c r="AM1005" s="1188"/>
      <c r="AN1005" s="1188"/>
      <c r="AO1005" s="1188"/>
      <c r="AP1005" s="1188"/>
      <c r="AQ1005" s="1189"/>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200"/>
      <c r="E1006" s="1201"/>
      <c r="F1006" s="1201"/>
      <c r="G1006" s="1201"/>
      <c r="H1006" s="1201"/>
      <c r="I1006" s="1201"/>
      <c r="J1006" s="1201"/>
      <c r="K1006" s="1201"/>
      <c r="L1006" s="1201"/>
      <c r="M1006" s="1201"/>
      <c r="N1006" s="1201"/>
      <c r="O1006" s="1201"/>
      <c r="P1006" s="1201"/>
      <c r="Q1006" s="1201"/>
      <c r="R1006" s="1201"/>
      <c r="S1006" s="1201"/>
      <c r="T1006" s="1201"/>
      <c r="U1006" s="1201"/>
      <c r="V1006" s="1201"/>
      <c r="W1006" s="1201"/>
      <c r="X1006" s="1201"/>
      <c r="Y1006" s="1201"/>
      <c r="Z1006" s="1201"/>
      <c r="AA1006" s="1201"/>
      <c r="AB1006" s="1201"/>
      <c r="AC1006" s="1201"/>
      <c r="AD1006" s="1201"/>
      <c r="AE1006" s="1202"/>
      <c r="AF1006" s="1555"/>
      <c r="AG1006" s="1555"/>
      <c r="AH1006" s="1555"/>
      <c r="AI1006" s="1555"/>
      <c r="AJ1006" s="1187"/>
      <c r="AK1006" s="1188"/>
      <c r="AL1006" s="1188"/>
      <c r="AM1006" s="1188"/>
      <c r="AN1006" s="1188"/>
      <c r="AO1006" s="1188"/>
      <c r="AP1006" s="1188"/>
      <c r="AQ1006" s="1189"/>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216" t="s">
        <v>124</v>
      </c>
      <c r="K1007" s="1217"/>
      <c r="L1007" s="1217"/>
      <c r="M1007" s="1217"/>
      <c r="N1007" s="1217"/>
      <c r="O1007" s="1217"/>
      <c r="P1007" s="1217"/>
      <c r="Q1007" s="1217"/>
      <c r="R1007" s="1217"/>
      <c r="S1007" s="1217"/>
      <c r="T1007" s="1217"/>
      <c r="U1007" s="1217"/>
      <c r="V1007" s="1217"/>
      <c r="W1007" s="1217"/>
      <c r="X1007" s="1217"/>
      <c r="Y1007" s="1217"/>
      <c r="Z1007" s="1217"/>
      <c r="AA1007" s="1217"/>
      <c r="AB1007" s="1217"/>
      <c r="AC1007" s="1217"/>
      <c r="AD1007" s="1217"/>
      <c r="AE1007" s="1218"/>
      <c r="AF1007" s="1555"/>
      <c r="AG1007" s="1555"/>
      <c r="AH1007" s="1555"/>
      <c r="AI1007" s="1555"/>
      <c r="AJ1007" s="1190"/>
      <c r="AK1007" s="1191"/>
      <c r="AL1007" s="1191"/>
      <c r="AM1007" s="1191"/>
      <c r="AN1007" s="1191"/>
      <c r="AO1007" s="1191"/>
      <c r="AP1007" s="1191"/>
      <c r="AQ1007" s="1192"/>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207" t="s">
        <v>1887</v>
      </c>
      <c r="E1008" s="1208"/>
      <c r="F1008" s="1208"/>
      <c r="G1008" s="1208"/>
      <c r="H1008" s="1208"/>
      <c r="I1008" s="1208"/>
      <c r="J1008" s="1208"/>
      <c r="K1008" s="1208"/>
      <c r="L1008" s="1208"/>
      <c r="M1008" s="1208"/>
      <c r="N1008" s="1208"/>
      <c r="O1008" s="1208"/>
      <c r="P1008" s="1208"/>
      <c r="Q1008" s="1208"/>
      <c r="R1008" s="1208"/>
      <c r="S1008" s="1208"/>
      <c r="T1008" s="1208"/>
      <c r="U1008" s="1208"/>
      <c r="V1008" s="1208"/>
      <c r="W1008" s="1208"/>
      <c r="X1008" s="1208"/>
      <c r="Y1008" s="1208"/>
      <c r="Z1008" s="1208"/>
      <c r="AA1008" s="1208"/>
      <c r="AB1008" s="1208"/>
      <c r="AC1008" s="1208"/>
      <c r="AD1008" s="1208"/>
      <c r="AE1008" s="1209"/>
      <c r="AF1008" s="82"/>
      <c r="AG1008" s="1165" t="s">
        <v>482</v>
      </c>
      <c r="AH1008" s="1166"/>
      <c r="AI1008" s="85"/>
      <c r="AJ1008" s="1184">
        <f>ROUND(IF(AG1008="Yes",AF1010,0),0)</f>
        <v>0</v>
      </c>
      <c r="AK1008" s="1185"/>
      <c r="AL1008" s="1185"/>
      <c r="AM1008" s="1185"/>
      <c r="AN1008" s="1185"/>
      <c r="AO1008" s="1185"/>
      <c r="AP1008" s="1185"/>
      <c r="AQ1008" s="1186"/>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200" t="s">
        <v>1989</v>
      </c>
      <c r="E1009" s="1201"/>
      <c r="F1009" s="1201"/>
      <c r="G1009" s="1201"/>
      <c r="H1009" s="1201"/>
      <c r="I1009" s="1201"/>
      <c r="J1009" s="1201"/>
      <c r="K1009" s="1201"/>
      <c r="L1009" s="1201"/>
      <c r="M1009" s="1201"/>
      <c r="N1009" s="1201"/>
      <c r="O1009" s="1201"/>
      <c r="P1009" s="1201"/>
      <c r="Q1009" s="1201"/>
      <c r="R1009" s="1201"/>
      <c r="S1009" s="1201"/>
      <c r="T1009" s="1201"/>
      <c r="U1009" s="1201"/>
      <c r="V1009" s="1201"/>
      <c r="W1009" s="1201"/>
      <c r="X1009" s="1201"/>
      <c r="Y1009" s="1201"/>
      <c r="Z1009" s="1201"/>
      <c r="AA1009" s="1201"/>
      <c r="AB1009" s="1201"/>
      <c r="AC1009" s="1201"/>
      <c r="AD1009" s="1201"/>
      <c r="AE1009" s="1202"/>
      <c r="AF1009" s="1556" t="str">
        <f>IF(AG1008="yes","Please Enter Amount:","")</f>
        <v/>
      </c>
      <c r="AG1009" s="1557"/>
      <c r="AH1009" s="1557"/>
      <c r="AI1009" s="1558"/>
      <c r="AJ1009" s="1187"/>
      <c r="AK1009" s="1188"/>
      <c r="AL1009" s="1188"/>
      <c r="AM1009" s="1188"/>
      <c r="AN1009" s="1188"/>
      <c r="AO1009" s="1188"/>
      <c r="AP1009" s="1188"/>
      <c r="AQ1009" s="1189"/>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200"/>
      <c r="E1010" s="1201"/>
      <c r="F1010" s="1201"/>
      <c r="G1010" s="1201"/>
      <c r="H1010" s="1201"/>
      <c r="I1010" s="1201"/>
      <c r="J1010" s="1201"/>
      <c r="K1010" s="1201"/>
      <c r="L1010" s="1201"/>
      <c r="M1010" s="1201"/>
      <c r="N1010" s="1201"/>
      <c r="O1010" s="1201"/>
      <c r="P1010" s="1201"/>
      <c r="Q1010" s="1201"/>
      <c r="R1010" s="1201"/>
      <c r="S1010" s="1201"/>
      <c r="T1010" s="1201"/>
      <c r="U1010" s="1201"/>
      <c r="V1010" s="1201"/>
      <c r="W1010" s="1201"/>
      <c r="X1010" s="1201"/>
      <c r="Y1010" s="1201"/>
      <c r="Z1010" s="1201"/>
      <c r="AA1010" s="1201"/>
      <c r="AB1010" s="1201"/>
      <c r="AC1010" s="1201"/>
      <c r="AD1010" s="1201"/>
      <c r="AE1010" s="1202"/>
      <c r="AF1010" s="1555"/>
      <c r="AG1010" s="1555"/>
      <c r="AH1010" s="1555"/>
      <c r="AI1010" s="1555"/>
      <c r="AJ1010" s="1187"/>
      <c r="AK1010" s="1188"/>
      <c r="AL1010" s="1188"/>
      <c r="AM1010" s="1188"/>
      <c r="AN1010" s="1188"/>
      <c r="AO1010" s="1188"/>
      <c r="AP1010" s="1188"/>
      <c r="AQ1010" s="1189"/>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203"/>
      <c r="E1011" s="1204"/>
      <c r="F1011" s="1204"/>
      <c r="G1011" s="1204"/>
      <c r="H1011" s="1204"/>
      <c r="I1011" s="1204"/>
      <c r="J1011" s="1204"/>
      <c r="K1011" s="1204"/>
      <c r="L1011" s="1204"/>
      <c r="M1011" s="1204"/>
      <c r="N1011" s="1204"/>
      <c r="O1011" s="1204"/>
      <c r="P1011" s="1204"/>
      <c r="Q1011" s="1204"/>
      <c r="R1011" s="1204"/>
      <c r="S1011" s="1204"/>
      <c r="T1011" s="1204"/>
      <c r="U1011" s="1204"/>
      <c r="V1011" s="1204"/>
      <c r="W1011" s="1204"/>
      <c r="X1011" s="1204"/>
      <c r="Y1011" s="1204"/>
      <c r="Z1011" s="1204"/>
      <c r="AA1011" s="1204"/>
      <c r="AB1011" s="1204"/>
      <c r="AC1011" s="1204"/>
      <c r="AD1011" s="1204"/>
      <c r="AE1011" s="1205"/>
      <c r="AF1011" s="1555"/>
      <c r="AG1011" s="1555"/>
      <c r="AH1011" s="1555"/>
      <c r="AI1011" s="1555"/>
      <c r="AJ1011" s="1190"/>
      <c r="AK1011" s="1191"/>
      <c r="AL1011" s="1191"/>
      <c r="AM1011" s="1191"/>
      <c r="AN1011" s="1191"/>
      <c r="AO1011" s="1191"/>
      <c r="AP1011" s="1191"/>
      <c r="AQ1011" s="1192"/>
      <c r="AT1011" s="43"/>
      <c r="AU1011" s="43"/>
      <c r="AV1011" s="43"/>
      <c r="AW1011" s="43"/>
      <c r="AX1011" s="38"/>
      <c r="AY1011" s="38"/>
      <c r="AZ1011" s="21"/>
      <c r="BA1011" s="21"/>
      <c r="BB1011" s="21"/>
      <c r="BC1011" s="43"/>
      <c r="BD1011" s="43"/>
    </row>
    <row r="1012" spans="1:97" ht="12.95" customHeight="1">
      <c r="A1012" s="21"/>
      <c r="B1012" s="82"/>
      <c r="C1012" s="552" t="s">
        <v>578</v>
      </c>
      <c r="D1012" s="1162" t="s">
        <v>1888</v>
      </c>
      <c r="E1012" s="1163"/>
      <c r="F1012" s="1163"/>
      <c r="G1012" s="1163"/>
      <c r="H1012" s="1163"/>
      <c r="I1012" s="1163"/>
      <c r="J1012" s="1163"/>
      <c r="K1012" s="1163"/>
      <c r="L1012" s="1163"/>
      <c r="M1012" s="1163"/>
      <c r="N1012" s="1163"/>
      <c r="O1012" s="1163"/>
      <c r="P1012" s="1163"/>
      <c r="Q1012" s="1163"/>
      <c r="R1012" s="1163"/>
      <c r="S1012" s="1163"/>
      <c r="T1012" s="1163"/>
      <c r="U1012" s="1163"/>
      <c r="V1012" s="1163"/>
      <c r="W1012" s="1163"/>
      <c r="X1012" s="1163"/>
      <c r="Y1012" s="1163"/>
      <c r="Z1012" s="1163"/>
      <c r="AA1012" s="1163"/>
      <c r="AB1012" s="1163"/>
      <c r="AC1012" s="1163"/>
      <c r="AD1012" s="1163"/>
      <c r="AE1012" s="1164"/>
      <c r="AF1012" s="82"/>
      <c r="AG1012" s="1165" t="s">
        <v>482</v>
      </c>
      <c r="AH1012" s="1166"/>
      <c r="AI1012" s="85"/>
      <c r="AJ1012" s="1184">
        <f>ROUND(IF(AG1012="yes",(AJ975*0.1),0),0)</f>
        <v>0</v>
      </c>
      <c r="AK1012" s="1185"/>
      <c r="AL1012" s="1185"/>
      <c r="AM1012" s="1185"/>
      <c r="AN1012" s="1185"/>
      <c r="AO1012" s="1185"/>
      <c r="AP1012" s="1185"/>
      <c r="AQ1012" s="1186"/>
      <c r="AT1012" s="43"/>
      <c r="AU1012" s="43"/>
      <c r="AV1012" s="43"/>
      <c r="AW1012" s="43"/>
      <c r="AX1012" s="38"/>
      <c r="AY1012" s="38"/>
      <c r="AZ1012" s="21"/>
      <c r="BA1012" s="21"/>
      <c r="BB1012" s="21"/>
      <c r="BC1012" s="43"/>
      <c r="BD1012" s="43"/>
    </row>
    <row r="1013" spans="1:97" ht="12.95" customHeight="1">
      <c r="A1013" s="21"/>
      <c r="B1013" s="79"/>
      <c r="C1013" s="553"/>
      <c r="D1013" s="1200" t="s">
        <v>1889</v>
      </c>
      <c r="E1013" s="1201"/>
      <c r="F1013" s="1201"/>
      <c r="G1013" s="1201"/>
      <c r="H1013" s="1201"/>
      <c r="I1013" s="1201"/>
      <c r="J1013" s="1201"/>
      <c r="K1013" s="1201"/>
      <c r="L1013" s="1201"/>
      <c r="M1013" s="1201"/>
      <c r="N1013" s="1201"/>
      <c r="O1013" s="1201"/>
      <c r="P1013" s="1201"/>
      <c r="Q1013" s="1201"/>
      <c r="R1013" s="1201"/>
      <c r="S1013" s="1201"/>
      <c r="T1013" s="1201"/>
      <c r="U1013" s="1201"/>
      <c r="V1013" s="1201"/>
      <c r="W1013" s="1201"/>
      <c r="X1013" s="1201"/>
      <c r="Y1013" s="1201"/>
      <c r="Z1013" s="1201"/>
      <c r="AA1013" s="1201"/>
      <c r="AB1013" s="1201"/>
      <c r="AC1013" s="1201"/>
      <c r="AD1013" s="1201"/>
      <c r="AE1013" s="1202"/>
      <c r="AF1013" s="79"/>
      <c r="AG1013" s="21"/>
      <c r="AH1013" s="21"/>
      <c r="AI1013" s="83"/>
      <c r="AJ1013" s="1187"/>
      <c r="AK1013" s="1188"/>
      <c r="AL1013" s="1188"/>
      <c r="AM1013" s="1188"/>
      <c r="AN1013" s="1188"/>
      <c r="AO1013" s="1188"/>
      <c r="AP1013" s="1188"/>
      <c r="AQ1013" s="1189"/>
      <c r="AT1013" s="43"/>
      <c r="AU1013" s="43"/>
      <c r="AV1013" s="43"/>
      <c r="AW1013" s="43"/>
      <c r="AX1013" s="38"/>
      <c r="AY1013" s="38"/>
      <c r="AZ1013" s="21"/>
      <c r="BA1013" s="21"/>
      <c r="BB1013" s="21"/>
      <c r="BC1013" s="43"/>
      <c r="BD1013" s="43"/>
    </row>
    <row r="1014" spans="1:97" ht="12.95" customHeight="1">
      <c r="A1014" s="551"/>
      <c r="B1014" s="80"/>
      <c r="C1014" s="553"/>
      <c r="D1014" s="1203"/>
      <c r="E1014" s="1204"/>
      <c r="F1014" s="1204"/>
      <c r="G1014" s="1204"/>
      <c r="H1014" s="1204"/>
      <c r="I1014" s="1204"/>
      <c r="J1014" s="1204"/>
      <c r="K1014" s="1204"/>
      <c r="L1014" s="1204"/>
      <c r="M1014" s="1204"/>
      <c r="N1014" s="1204"/>
      <c r="O1014" s="1204"/>
      <c r="P1014" s="1204"/>
      <c r="Q1014" s="1204"/>
      <c r="R1014" s="1204"/>
      <c r="S1014" s="1204"/>
      <c r="T1014" s="1204"/>
      <c r="U1014" s="1204"/>
      <c r="V1014" s="1204"/>
      <c r="W1014" s="1204"/>
      <c r="X1014" s="1204"/>
      <c r="Y1014" s="1204"/>
      <c r="Z1014" s="1204"/>
      <c r="AA1014" s="1204"/>
      <c r="AB1014" s="1204"/>
      <c r="AC1014" s="1204"/>
      <c r="AD1014" s="1204"/>
      <c r="AE1014" s="1205"/>
      <c r="AF1014" s="79"/>
      <c r="AG1014" s="21"/>
      <c r="AH1014" s="21"/>
      <c r="AI1014" s="83"/>
      <c r="AJ1014" s="1190"/>
      <c r="AK1014" s="1191"/>
      <c r="AL1014" s="1191"/>
      <c r="AM1014" s="1191"/>
      <c r="AN1014" s="1191"/>
      <c r="AO1014" s="1191"/>
      <c r="AP1014" s="1191"/>
      <c r="AQ1014" s="1192"/>
      <c r="AT1014" s="43"/>
      <c r="AU1014" s="43"/>
      <c r="AV1014" s="43"/>
      <c r="AW1014" s="43"/>
      <c r="AX1014" s="38"/>
      <c r="AY1014" s="38"/>
      <c r="AZ1014" s="21"/>
      <c r="BA1014" s="21"/>
      <c r="BB1014" s="21"/>
      <c r="BC1014" s="43"/>
      <c r="BD1014" s="43"/>
    </row>
    <row r="1015" spans="1:97" ht="12.95" customHeight="1">
      <c r="A1015" s="551"/>
      <c r="B1015" s="79"/>
      <c r="C1015" s="552" t="s">
        <v>581</v>
      </c>
      <c r="D1015" s="1207" t="s">
        <v>1990</v>
      </c>
      <c r="E1015" s="1208"/>
      <c r="F1015" s="1208"/>
      <c r="G1015" s="1208"/>
      <c r="H1015" s="1208"/>
      <c r="I1015" s="1208"/>
      <c r="J1015" s="1208"/>
      <c r="K1015" s="1208"/>
      <c r="L1015" s="1208"/>
      <c r="M1015" s="1208"/>
      <c r="N1015" s="1208"/>
      <c r="O1015" s="1208"/>
      <c r="P1015" s="1208"/>
      <c r="Q1015" s="1208"/>
      <c r="R1015" s="1208"/>
      <c r="S1015" s="1208"/>
      <c r="T1015" s="1208"/>
      <c r="U1015" s="1208"/>
      <c r="V1015" s="1208"/>
      <c r="W1015" s="1208"/>
      <c r="X1015" s="1208"/>
      <c r="Y1015" s="1208"/>
      <c r="Z1015" s="1208"/>
      <c r="AA1015" s="1208"/>
      <c r="AB1015" s="1208"/>
      <c r="AC1015" s="1208"/>
      <c r="AD1015" s="1208"/>
      <c r="AE1015" s="1209"/>
      <c r="AF1015" s="82"/>
      <c r="AG1015" s="1165" t="s">
        <v>482</v>
      </c>
      <c r="AH1015" s="1166"/>
      <c r="AI1015" s="85"/>
      <c r="AJ1015" s="1184">
        <f>ROUND(IF(AG1015="yes",(AJ975*0.15),0),0)</f>
        <v>0</v>
      </c>
      <c r="AK1015" s="1185"/>
      <c r="AL1015" s="1185"/>
      <c r="AM1015" s="1185"/>
      <c r="AN1015" s="1185"/>
      <c r="AO1015" s="1185"/>
      <c r="AP1015" s="1185"/>
      <c r="AQ1015" s="1186"/>
      <c r="AT1015" s="43"/>
      <c r="AU1015" s="43"/>
      <c r="AV1015" s="43"/>
      <c r="AW1015" s="43"/>
      <c r="AX1015" s="43"/>
      <c r="AY1015" s="43"/>
      <c r="AZ1015" s="43"/>
      <c r="BA1015" s="43"/>
      <c r="BB1015" s="43"/>
      <c r="BC1015" s="43"/>
      <c r="BD1015" s="43"/>
    </row>
    <row r="1016" spans="1:97" ht="12.95" customHeight="1">
      <c r="A1016" s="551"/>
      <c r="B1016" s="79"/>
      <c r="C1016" s="553"/>
      <c r="D1016" s="1195" t="s">
        <v>1991</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96"/>
      <c r="AF1016" s="868"/>
      <c r="AG1016" s="869"/>
      <c r="AH1016" s="869"/>
      <c r="AI1016" s="870"/>
      <c r="AJ1016" s="1187"/>
      <c r="AK1016" s="1188"/>
      <c r="AL1016" s="1188"/>
      <c r="AM1016" s="1188"/>
      <c r="AN1016" s="1188"/>
      <c r="AO1016" s="1188"/>
      <c r="AP1016" s="1188"/>
      <c r="AQ1016" s="1189"/>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95"/>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96"/>
      <c r="AF1017" s="868"/>
      <c r="AG1017" s="869"/>
      <c r="AH1017" s="869"/>
      <c r="AI1017" s="870"/>
      <c r="AJ1017" s="1187"/>
      <c r="AK1017" s="1188"/>
      <c r="AL1017" s="1188"/>
      <c r="AM1017" s="1188"/>
      <c r="AN1017" s="1188"/>
      <c r="AO1017" s="1188"/>
      <c r="AP1017" s="1188"/>
      <c r="AQ1017" s="118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97"/>
      <c r="E1018" s="1198"/>
      <c r="F1018" s="1198"/>
      <c r="G1018" s="1198"/>
      <c r="H1018" s="1198"/>
      <c r="I1018" s="1198"/>
      <c r="J1018" s="1198"/>
      <c r="K1018" s="1198"/>
      <c r="L1018" s="1198"/>
      <c r="M1018" s="1198"/>
      <c r="N1018" s="1198"/>
      <c r="O1018" s="1198"/>
      <c r="P1018" s="1198"/>
      <c r="Q1018" s="1198"/>
      <c r="R1018" s="1198"/>
      <c r="S1018" s="1198"/>
      <c r="T1018" s="1198"/>
      <c r="U1018" s="1198"/>
      <c r="V1018" s="1198"/>
      <c r="W1018" s="1198"/>
      <c r="X1018" s="1198"/>
      <c r="Y1018" s="1198"/>
      <c r="Z1018" s="1198"/>
      <c r="AA1018" s="1198"/>
      <c r="AB1018" s="1198"/>
      <c r="AC1018" s="1198"/>
      <c r="AD1018" s="1198"/>
      <c r="AE1018" s="1199"/>
      <c r="AF1018" s="871"/>
      <c r="AG1018" s="872"/>
      <c r="AH1018" s="872"/>
      <c r="AI1018" s="873"/>
      <c r="AJ1018" s="1190"/>
      <c r="AK1018" s="1191"/>
      <c r="AL1018" s="1191"/>
      <c r="AM1018" s="1191"/>
      <c r="AN1018" s="1191"/>
      <c r="AO1018" s="1191"/>
      <c r="AP1018" s="1191"/>
      <c r="AQ1018" s="119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62" t="s">
        <v>1992</v>
      </c>
      <c r="E1019" s="1163"/>
      <c r="F1019" s="1163"/>
      <c r="G1019" s="1163"/>
      <c r="H1019" s="1163"/>
      <c r="I1019" s="1163"/>
      <c r="J1019" s="1163"/>
      <c r="K1019" s="1163"/>
      <c r="L1019" s="1163"/>
      <c r="M1019" s="1163"/>
      <c r="N1019" s="1163"/>
      <c r="O1019" s="1163"/>
      <c r="P1019" s="1163"/>
      <c r="Q1019" s="1163"/>
      <c r="R1019" s="1163"/>
      <c r="S1019" s="1163"/>
      <c r="T1019" s="1163"/>
      <c r="U1019" s="1163"/>
      <c r="V1019" s="1163"/>
      <c r="W1019" s="1163"/>
      <c r="X1019" s="1163"/>
      <c r="Y1019" s="1163"/>
      <c r="Z1019" s="1163"/>
      <c r="AA1019" s="1163"/>
      <c r="AB1019" s="1163"/>
      <c r="AC1019" s="1163"/>
      <c r="AD1019" s="1163"/>
      <c r="AE1019" s="1164"/>
      <c r="AF1019" s="79"/>
      <c r="AG1019" s="1193" t="s">
        <v>482</v>
      </c>
      <c r="AH1019" s="1194"/>
      <c r="AI1019" s="83"/>
      <c r="AJ1019" s="1184">
        <f>ROUND(IF(AG1019="yes",(AJ975*0.1),0),0)</f>
        <v>0</v>
      </c>
      <c r="AK1019" s="1185"/>
      <c r="AL1019" s="1185"/>
      <c r="AM1019" s="1185"/>
      <c r="AN1019" s="1185"/>
      <c r="AO1019" s="1185"/>
      <c r="AP1019" s="1185"/>
      <c r="AQ1019" s="118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95" t="s">
        <v>1993</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96"/>
      <c r="AF1020" s="79"/>
      <c r="AG1020" s="21"/>
      <c r="AH1020" s="21"/>
      <c r="AI1020" s="83"/>
      <c r="AJ1020" s="1187"/>
      <c r="AK1020" s="1188"/>
      <c r="AL1020" s="1188"/>
      <c r="AM1020" s="1188"/>
      <c r="AN1020" s="1188"/>
      <c r="AO1020" s="1188"/>
      <c r="AP1020" s="1188"/>
      <c r="AQ1020" s="118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95"/>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96"/>
      <c r="AF1021" s="79"/>
      <c r="AG1021" s="21"/>
      <c r="AH1021" s="21"/>
      <c r="AI1021" s="83"/>
      <c r="AJ1021" s="1187"/>
      <c r="AK1021" s="1188"/>
      <c r="AL1021" s="1188"/>
      <c r="AM1021" s="1188"/>
      <c r="AN1021" s="1188"/>
      <c r="AO1021" s="1188"/>
      <c r="AP1021" s="1188"/>
      <c r="AQ1021" s="1189"/>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95"/>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96"/>
      <c r="AF1022" s="79"/>
      <c r="AG1022" s="21"/>
      <c r="AH1022" s="21"/>
      <c r="AI1022" s="83"/>
      <c r="AJ1022" s="1187"/>
      <c r="AK1022" s="1188"/>
      <c r="AL1022" s="1188"/>
      <c r="AM1022" s="1188"/>
      <c r="AN1022" s="1188"/>
      <c r="AO1022" s="1188"/>
      <c r="AP1022" s="1188"/>
      <c r="AQ1022" s="1189"/>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97"/>
      <c r="E1023" s="1198"/>
      <c r="F1023" s="1198"/>
      <c r="G1023" s="1198"/>
      <c r="H1023" s="1198"/>
      <c r="I1023" s="1198"/>
      <c r="J1023" s="1198"/>
      <c r="K1023" s="1198"/>
      <c r="L1023" s="1198"/>
      <c r="M1023" s="1198"/>
      <c r="N1023" s="1198"/>
      <c r="O1023" s="1198"/>
      <c r="P1023" s="1198"/>
      <c r="Q1023" s="1198"/>
      <c r="R1023" s="1198"/>
      <c r="S1023" s="1198"/>
      <c r="T1023" s="1198"/>
      <c r="U1023" s="1198"/>
      <c r="V1023" s="1198"/>
      <c r="W1023" s="1198"/>
      <c r="X1023" s="1198"/>
      <c r="Y1023" s="1198"/>
      <c r="Z1023" s="1198"/>
      <c r="AA1023" s="1198"/>
      <c r="AB1023" s="1198"/>
      <c r="AC1023" s="1198"/>
      <c r="AD1023" s="1198"/>
      <c r="AE1023" s="1199"/>
      <c r="AF1023" s="79"/>
      <c r="AG1023" s="21"/>
      <c r="AH1023" s="21"/>
      <c r="AI1023" s="83"/>
      <c r="AJ1023" s="1187"/>
      <c r="AK1023" s="1188"/>
      <c r="AL1023" s="1188"/>
      <c r="AM1023" s="1188"/>
      <c r="AN1023" s="1188"/>
      <c r="AO1023" s="1188"/>
      <c r="AP1023" s="1188"/>
      <c r="AQ1023" s="1189"/>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207" t="s">
        <v>1890</v>
      </c>
      <c r="E1024" s="1208"/>
      <c r="F1024" s="1208"/>
      <c r="G1024" s="1208"/>
      <c r="H1024" s="1208"/>
      <c r="I1024" s="1208"/>
      <c r="J1024" s="1208"/>
      <c r="K1024" s="1208"/>
      <c r="L1024" s="1208"/>
      <c r="M1024" s="1208"/>
      <c r="N1024" s="1208"/>
      <c r="O1024" s="1208"/>
      <c r="P1024" s="1208"/>
      <c r="Q1024" s="1208"/>
      <c r="R1024" s="1208"/>
      <c r="S1024" s="1208"/>
      <c r="T1024" s="1208"/>
      <c r="U1024" s="1208"/>
      <c r="V1024" s="1208"/>
      <c r="W1024" s="1208"/>
      <c r="X1024" s="1208"/>
      <c r="Y1024" s="1208"/>
      <c r="Z1024" s="1208"/>
      <c r="AA1024" s="1208"/>
      <c r="AB1024" s="1208"/>
      <c r="AC1024" s="1208"/>
      <c r="AD1024" s="1208"/>
      <c r="AE1024" s="1209"/>
      <c r="AF1024" s="82"/>
      <c r="AG1024" s="1165" t="s">
        <v>482</v>
      </c>
      <c r="AH1024" s="1166"/>
      <c r="AI1024" s="85"/>
      <c r="AJ1024" s="1184">
        <f>ROUND(IF(AG1024="yes",(AJ975*0.1),0),0)</f>
        <v>0</v>
      </c>
      <c r="AK1024" s="1185"/>
      <c r="AL1024" s="1185"/>
      <c r="AM1024" s="1185"/>
      <c r="AN1024" s="1185"/>
      <c r="AO1024" s="1185"/>
      <c r="AP1024" s="1185"/>
      <c r="AQ1024" s="1186"/>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200" t="s">
        <v>2198</v>
      </c>
      <c r="E1025" s="1201"/>
      <c r="F1025" s="1201"/>
      <c r="G1025" s="1201"/>
      <c r="H1025" s="1201"/>
      <c r="I1025" s="1201"/>
      <c r="J1025" s="1201"/>
      <c r="K1025" s="1201"/>
      <c r="L1025" s="1201"/>
      <c r="M1025" s="1201"/>
      <c r="N1025" s="1201"/>
      <c r="O1025" s="1201"/>
      <c r="P1025" s="1201"/>
      <c r="Q1025" s="1201"/>
      <c r="R1025" s="1201"/>
      <c r="S1025" s="1201"/>
      <c r="T1025" s="1201"/>
      <c r="U1025" s="1201"/>
      <c r="V1025" s="1201"/>
      <c r="W1025" s="1201"/>
      <c r="X1025" s="1201"/>
      <c r="Y1025" s="1201"/>
      <c r="Z1025" s="1201"/>
      <c r="AA1025" s="1201"/>
      <c r="AB1025" s="1201"/>
      <c r="AC1025" s="1201"/>
      <c r="AD1025" s="1201"/>
      <c r="AE1025" s="1202"/>
      <c r="AF1025" s="79"/>
      <c r="AG1025" s="21"/>
      <c r="AH1025" s="21"/>
      <c r="AI1025" s="83"/>
      <c r="AJ1025" s="1187"/>
      <c r="AK1025" s="1188"/>
      <c r="AL1025" s="1188"/>
      <c r="AM1025" s="1188"/>
      <c r="AN1025" s="1188"/>
      <c r="AO1025" s="1188"/>
      <c r="AP1025" s="1188"/>
      <c r="AQ1025" s="1189"/>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200"/>
      <c r="E1026" s="1201"/>
      <c r="F1026" s="1201"/>
      <c r="G1026" s="1201"/>
      <c r="H1026" s="1201"/>
      <c r="I1026" s="1201"/>
      <c r="J1026" s="1201"/>
      <c r="K1026" s="1201"/>
      <c r="L1026" s="1201"/>
      <c r="M1026" s="1201"/>
      <c r="N1026" s="1201"/>
      <c r="O1026" s="1201"/>
      <c r="P1026" s="1201"/>
      <c r="Q1026" s="1201"/>
      <c r="R1026" s="1201"/>
      <c r="S1026" s="1201"/>
      <c r="T1026" s="1201"/>
      <c r="U1026" s="1201"/>
      <c r="V1026" s="1201"/>
      <c r="W1026" s="1201"/>
      <c r="X1026" s="1201"/>
      <c r="Y1026" s="1201"/>
      <c r="Z1026" s="1201"/>
      <c r="AA1026" s="1201"/>
      <c r="AB1026" s="1201"/>
      <c r="AC1026" s="1201"/>
      <c r="AD1026" s="1201"/>
      <c r="AE1026" s="1202"/>
      <c r="AF1026" s="79"/>
      <c r="AG1026" s="21"/>
      <c r="AH1026" s="21"/>
      <c r="AI1026" s="83"/>
      <c r="AJ1026" s="1187"/>
      <c r="AK1026" s="1188"/>
      <c r="AL1026" s="1188"/>
      <c r="AM1026" s="1188"/>
      <c r="AN1026" s="1188"/>
      <c r="AO1026" s="1188"/>
      <c r="AP1026" s="1188"/>
      <c r="AQ1026" s="1189"/>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203"/>
      <c r="E1027" s="1204"/>
      <c r="F1027" s="1204"/>
      <c r="G1027" s="1204"/>
      <c r="H1027" s="1204"/>
      <c r="I1027" s="1204"/>
      <c r="J1027" s="1204"/>
      <c r="K1027" s="1204"/>
      <c r="L1027" s="1204"/>
      <c r="M1027" s="1204"/>
      <c r="N1027" s="1204"/>
      <c r="O1027" s="1204"/>
      <c r="P1027" s="1204"/>
      <c r="Q1027" s="1204"/>
      <c r="R1027" s="1204"/>
      <c r="S1027" s="1204"/>
      <c r="T1027" s="1204"/>
      <c r="U1027" s="1204"/>
      <c r="V1027" s="1204"/>
      <c r="W1027" s="1204"/>
      <c r="X1027" s="1204"/>
      <c r="Y1027" s="1204"/>
      <c r="Z1027" s="1204"/>
      <c r="AA1027" s="1204"/>
      <c r="AB1027" s="1204"/>
      <c r="AC1027" s="1204"/>
      <c r="AD1027" s="1204"/>
      <c r="AE1027" s="1205"/>
      <c r="AF1027" s="79"/>
      <c r="AG1027" s="21"/>
      <c r="AH1027" s="21"/>
      <c r="AI1027" s="83"/>
      <c r="AJ1027" s="1190"/>
      <c r="AK1027" s="1191"/>
      <c r="AL1027" s="1191"/>
      <c r="AM1027" s="1191"/>
      <c r="AN1027" s="1191"/>
      <c r="AO1027" s="1191"/>
      <c r="AP1027" s="1191"/>
      <c r="AQ1027" s="1192"/>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82" t="s">
        <v>748</v>
      </c>
      <c r="E1028" s="1582"/>
      <c r="F1028" s="1582"/>
      <c r="G1028" s="1582"/>
      <c r="H1028" s="1582"/>
      <c r="I1028" s="1582"/>
      <c r="J1028" s="1582"/>
      <c r="K1028" s="1582"/>
      <c r="L1028" s="1582"/>
      <c r="M1028" s="1582"/>
      <c r="N1028" s="1582"/>
      <c r="O1028" s="1582"/>
      <c r="P1028" s="1582"/>
      <c r="Q1028" s="1582"/>
      <c r="R1028" s="1582"/>
      <c r="S1028" s="1582"/>
      <c r="T1028" s="1582"/>
      <c r="U1028" s="1582"/>
      <c r="V1028" s="1582"/>
      <c r="W1028" s="1582"/>
      <c r="X1028" s="1582"/>
      <c r="Y1028" s="1582"/>
      <c r="Z1028" s="1582"/>
      <c r="AA1028" s="1582"/>
      <c r="AB1028" s="1582"/>
      <c r="AC1028" s="1582"/>
      <c r="AD1028" s="1582"/>
      <c r="AE1028" s="1582"/>
      <c r="AF1028" s="1582"/>
      <c r="AG1028" s="1582"/>
      <c r="AH1028" s="1582"/>
      <c r="AI1028" s="1583"/>
      <c r="AJ1028" s="1605">
        <f>SUM(AJ975:AQ1027)</f>
        <v>27477250</v>
      </c>
      <c r="AK1028" s="1606"/>
      <c r="AL1028" s="1606"/>
      <c r="AM1028" s="1606"/>
      <c r="AN1028" s="1606"/>
      <c r="AO1028" s="1606"/>
      <c r="AP1028" s="1606"/>
      <c r="AQ1028" s="160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46">
        <f>'Sources and Uses Budget'!S106+'Sources and Uses Budget'!T106</f>
        <v>25760985</v>
      </c>
      <c r="Y1032" s="1446"/>
      <c r="Z1032" s="1446"/>
      <c r="AA1032" s="1446"/>
      <c r="AB1032" s="1446"/>
      <c r="AC1032" s="1446"/>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42">
        <f>IFERROR(X1032/AJ1028,"")</f>
        <v>0.93753869109900012</v>
      </c>
      <c r="Y1033" s="1443"/>
      <c r="Z1033" s="1443"/>
      <c r="AA1033" s="1443"/>
      <c r="AB1033" s="1443"/>
      <c r="AC1033" s="1444"/>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08"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08"/>
      <c r="F1034" s="1208"/>
      <c r="G1034" s="1208"/>
      <c r="H1034" s="1208"/>
      <c r="I1034" s="1208"/>
      <c r="J1034" s="1208"/>
      <c r="K1034" s="1208"/>
      <c r="L1034" s="1208"/>
      <c r="M1034" s="1208"/>
      <c r="N1034" s="1208"/>
      <c r="O1034" s="1208"/>
      <c r="P1034" s="1208"/>
      <c r="Q1034" s="1208"/>
      <c r="R1034" s="1208"/>
      <c r="S1034" s="1208"/>
      <c r="T1034" s="1208"/>
      <c r="U1034" s="1208"/>
      <c r="V1034" s="1208"/>
      <c r="W1034" s="1208"/>
      <c r="X1034" s="1208"/>
      <c r="Y1034" s="1208"/>
      <c r="Z1034" s="1208"/>
      <c r="AA1034" s="1208"/>
      <c r="AB1034" s="1208"/>
      <c r="AC1034" s="1208"/>
      <c r="AD1034" s="1208"/>
      <c r="AE1034" s="1208"/>
      <c r="AF1034" s="1208"/>
      <c r="AG1034" s="1208"/>
      <c r="AH1034" s="1208"/>
      <c r="AI1034" s="1208"/>
      <c r="AJ1034" s="1208"/>
      <c r="AK1034" s="120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08"/>
      <c r="E1035" s="1208"/>
      <c r="F1035" s="1208"/>
      <c r="G1035" s="1208"/>
      <c r="H1035" s="1208"/>
      <c r="I1035" s="1208"/>
      <c r="J1035" s="1208"/>
      <c r="K1035" s="1208"/>
      <c r="L1035" s="1208"/>
      <c r="M1035" s="1208"/>
      <c r="N1035" s="1208"/>
      <c r="O1035" s="1208"/>
      <c r="P1035" s="1208"/>
      <c r="Q1035" s="1208"/>
      <c r="R1035" s="1208"/>
      <c r="S1035" s="1208"/>
      <c r="T1035" s="1208"/>
      <c r="U1035" s="1208"/>
      <c r="V1035" s="1208"/>
      <c r="W1035" s="1208"/>
      <c r="X1035" s="1208"/>
      <c r="Y1035" s="1208"/>
      <c r="Z1035" s="1208"/>
      <c r="AA1035" s="1208"/>
      <c r="AB1035" s="1208"/>
      <c r="AC1035" s="1208"/>
      <c r="AD1035" s="1208"/>
      <c r="AE1035" s="1208"/>
      <c r="AF1035" s="1208"/>
      <c r="AG1035" s="1208"/>
      <c r="AH1035" s="1208"/>
      <c r="AI1035" s="1208"/>
      <c r="AJ1035" s="1208"/>
      <c r="AK1035" s="1208"/>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08"/>
      <c r="E1036" s="1208"/>
      <c r="F1036" s="1208"/>
      <c r="G1036" s="1208"/>
      <c r="H1036" s="1208"/>
      <c r="I1036" s="1208"/>
      <c r="J1036" s="1208"/>
      <c r="K1036" s="1208"/>
      <c r="L1036" s="1208"/>
      <c r="M1036" s="1208"/>
      <c r="N1036" s="1208"/>
      <c r="O1036" s="1208"/>
      <c r="P1036" s="1208"/>
      <c r="Q1036" s="1208"/>
      <c r="R1036" s="1208"/>
      <c r="S1036" s="1208"/>
      <c r="T1036" s="1208"/>
      <c r="U1036" s="1208"/>
      <c r="V1036" s="1208"/>
      <c r="W1036" s="1208"/>
      <c r="X1036" s="1208"/>
      <c r="Y1036" s="1208"/>
      <c r="Z1036" s="1208"/>
      <c r="AA1036" s="1208"/>
      <c r="AB1036" s="1208"/>
      <c r="AC1036" s="1208"/>
      <c r="AD1036" s="1208"/>
      <c r="AE1036" s="1208"/>
      <c r="AF1036" s="1208"/>
      <c r="AG1036" s="1208"/>
      <c r="AH1036" s="1208"/>
      <c r="AI1036" s="1208"/>
      <c r="AJ1036" s="1208"/>
      <c r="AK1036" s="1208"/>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45"/>
      <c r="C1039" s="1445"/>
      <c r="D1039" s="1445"/>
      <c r="E1039" s="1445"/>
      <c r="F1039" s="1445"/>
      <c r="G1039" s="1445"/>
      <c r="H1039" s="1445"/>
      <c r="I1039" s="1445"/>
      <c r="J1039" s="1445"/>
      <c r="K1039" s="1445"/>
      <c r="L1039" s="1445"/>
      <c r="M1039" s="1445"/>
      <c r="N1039" s="1445"/>
      <c r="O1039" s="1445"/>
      <c r="P1039" s="1445"/>
      <c r="Q1039" s="1445"/>
      <c r="R1039" s="1445"/>
      <c r="S1039" s="1445"/>
      <c r="T1039" s="1445"/>
      <c r="U1039" s="1445"/>
      <c r="V1039" s="1445"/>
      <c r="W1039" s="1445"/>
      <c r="X1039" s="1445"/>
      <c r="Y1039" s="1445"/>
      <c r="Z1039" s="1445"/>
      <c r="AA1039" s="1445"/>
      <c r="AB1039" s="1445"/>
      <c r="AC1039" s="1445"/>
      <c r="AD1039" s="1445"/>
      <c r="AE1039" s="1445"/>
      <c r="AF1039" s="1445"/>
      <c r="AG1039" s="1445"/>
      <c r="AH1039" s="1445"/>
      <c r="AI1039" s="1445"/>
      <c r="AJ1039" s="1445"/>
      <c r="AK1039" s="1445"/>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206" t="s">
        <v>989</v>
      </c>
      <c r="B1040" s="1206"/>
      <c r="C1040" s="1206"/>
      <c r="D1040" s="1206"/>
      <c r="E1040" s="1206"/>
      <c r="F1040" s="1206"/>
      <c r="G1040" s="1206"/>
      <c r="H1040" s="1206"/>
      <c r="I1040" s="1206"/>
      <c r="J1040" s="1206"/>
      <c r="K1040" s="1206"/>
      <c r="L1040" s="1206"/>
      <c r="M1040" s="1206"/>
      <c r="N1040" s="1206"/>
      <c r="O1040" s="1206"/>
      <c r="P1040" s="1206"/>
      <c r="Q1040" s="1206"/>
      <c r="R1040" s="1206"/>
      <c r="S1040" s="1206"/>
      <c r="T1040" s="1206"/>
      <c r="U1040" s="1206"/>
      <c r="V1040" s="1206"/>
      <c r="W1040" s="1206"/>
      <c r="X1040" s="1206"/>
      <c r="Y1040" s="1206"/>
      <c r="Z1040" s="1206"/>
      <c r="AA1040" s="1206"/>
      <c r="AB1040" s="1206"/>
      <c r="AC1040" s="1206"/>
      <c r="AD1040" s="1206"/>
      <c r="AE1040" s="1206"/>
      <c r="AF1040" s="1206"/>
      <c r="AG1040" s="1206"/>
      <c r="AH1040" s="1206"/>
      <c r="AI1040" s="1206"/>
      <c r="AJ1040" s="1206"/>
      <c r="AK1040" s="1206"/>
      <c r="AL1040" s="1206"/>
      <c r="AM1040" s="1206"/>
      <c r="AN1040" s="1206"/>
      <c r="AO1040" s="1206"/>
      <c r="AP1040" s="1206"/>
      <c r="AQ1040" s="1206"/>
      <c r="AR1040" s="1206"/>
      <c r="AS1040" s="1206"/>
      <c r="AT1040" s="1206"/>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49" t="s">
        <v>124</v>
      </c>
      <c r="B1044" s="1149"/>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49" t="s">
        <v>124</v>
      </c>
      <c r="B1046" s="1149"/>
      <c r="C1046" s="1">
        <v>2</v>
      </c>
      <c r="D1046" s="1624" t="s">
        <v>2310</v>
      </c>
      <c r="E1046" s="1624"/>
      <c r="F1046" s="1624"/>
      <c r="G1046" s="1624"/>
      <c r="H1046" s="1624"/>
      <c r="I1046" s="1624"/>
      <c r="J1046" s="1624"/>
      <c r="K1046" s="1624"/>
      <c r="L1046" s="1624"/>
      <c r="M1046" s="1624"/>
      <c r="N1046" s="1624"/>
      <c r="O1046" s="1624"/>
      <c r="P1046" s="1624"/>
      <c r="Q1046" s="1624"/>
      <c r="R1046" s="1624"/>
      <c r="S1046" s="1624"/>
      <c r="T1046" s="1624"/>
      <c r="U1046" s="1624"/>
      <c r="V1046" s="1624"/>
      <c r="W1046" s="1624"/>
      <c r="X1046" s="1624"/>
      <c r="Y1046" s="1624"/>
      <c r="Z1046" s="1624"/>
      <c r="AA1046" s="1624"/>
      <c r="AB1046" s="1624"/>
      <c r="AC1046" s="1624"/>
      <c r="AD1046" s="1624"/>
      <c r="AE1046" s="1624"/>
      <c r="AF1046" s="1624"/>
      <c r="AG1046" s="1624"/>
      <c r="AH1046" s="1624"/>
      <c r="AI1046" s="1624"/>
      <c r="AJ1046" s="1624"/>
      <c r="AK1046" s="1624"/>
      <c r="AL1046" s="1624"/>
      <c r="AM1046" s="1624"/>
      <c r="AN1046" s="1624"/>
      <c r="AO1046" s="1624"/>
      <c r="AP1046" s="1624"/>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624"/>
      <c r="E1047" s="1624"/>
      <c r="F1047" s="1624"/>
      <c r="G1047" s="1624"/>
      <c r="H1047" s="1624"/>
      <c r="I1047" s="1624"/>
      <c r="J1047" s="1624"/>
      <c r="K1047" s="1624"/>
      <c r="L1047" s="1624"/>
      <c r="M1047" s="1624"/>
      <c r="N1047" s="1624"/>
      <c r="O1047" s="1624"/>
      <c r="P1047" s="1624"/>
      <c r="Q1047" s="1624"/>
      <c r="R1047" s="1624"/>
      <c r="S1047" s="1624"/>
      <c r="T1047" s="1624"/>
      <c r="U1047" s="1624"/>
      <c r="V1047" s="1624"/>
      <c r="W1047" s="1624"/>
      <c r="X1047" s="1624"/>
      <c r="Y1047" s="1624"/>
      <c r="Z1047" s="1624"/>
      <c r="AA1047" s="1624"/>
      <c r="AB1047" s="1624"/>
      <c r="AC1047" s="1624"/>
      <c r="AD1047" s="1624"/>
      <c r="AE1047" s="1624"/>
      <c r="AF1047" s="1624"/>
      <c r="AG1047" s="1624"/>
      <c r="AH1047" s="1624"/>
      <c r="AI1047" s="1624"/>
      <c r="AJ1047" s="1624"/>
      <c r="AK1047" s="1624"/>
      <c r="AL1047" s="1624"/>
      <c r="AM1047" s="1624"/>
      <c r="AN1047" s="1624"/>
      <c r="AO1047" s="1624"/>
      <c r="AP1047" s="1624"/>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49" t="s">
        <v>124</v>
      </c>
      <c r="B1049" s="1149"/>
      <c r="C1049" s="1">
        <v>3</v>
      </c>
      <c r="D1049" s="980" t="s">
        <v>2311</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49" t="s">
        <v>124</v>
      </c>
      <c r="B1054" s="1149"/>
      <c r="C1054" s="1">
        <v>4</v>
      </c>
      <c r="D1054" s="980" t="s">
        <v>2312</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49" t="s">
        <v>124</v>
      </c>
      <c r="B1059" s="1149"/>
      <c r="C1059" s="1">
        <v>5</v>
      </c>
      <c r="D1059" s="977" t="s">
        <v>2313</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49" t="s">
        <v>124</v>
      </c>
      <c r="B1063" s="1149"/>
      <c r="C1063" s="1">
        <v>6</v>
      </c>
      <c r="D1063" s="977" t="s">
        <v>2033</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49" t="s">
        <v>124</v>
      </c>
      <c r="B1067" s="1149"/>
      <c r="C1067" s="964">
        <v>7</v>
      </c>
      <c r="D1067" s="980" t="s">
        <v>1714</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49" t="s">
        <v>124</v>
      </c>
      <c r="B1071" s="1149"/>
      <c r="C1071" s="964">
        <v>8</v>
      </c>
      <c r="D1071" s="1625" t="s">
        <v>1517</v>
      </c>
      <c r="E1071" s="1625"/>
      <c r="F1071" s="1625"/>
      <c r="G1071" s="1625"/>
      <c r="H1071" s="1625"/>
      <c r="I1071" s="1625"/>
      <c r="J1071" s="1625"/>
      <c r="K1071" s="1625"/>
      <c r="L1071" s="1625"/>
      <c r="M1071" s="1625"/>
      <c r="N1071" s="1625"/>
      <c r="O1071" s="1625"/>
      <c r="P1071" s="1625"/>
      <c r="Q1071" s="1625"/>
      <c r="R1071" s="1625"/>
      <c r="S1071" s="1625"/>
      <c r="T1071" s="1625"/>
      <c r="U1071" s="1625"/>
      <c r="V1071" s="1625"/>
      <c r="W1071" s="1625"/>
      <c r="X1071" s="1625"/>
      <c r="Y1071" s="1625"/>
      <c r="Z1071" s="1625"/>
      <c r="AA1071" s="1625"/>
      <c r="AB1071" s="1625"/>
      <c r="AC1071" s="1625"/>
      <c r="AD1071" s="1625"/>
      <c r="AE1071" s="1625"/>
      <c r="AF1071" s="1625"/>
      <c r="AG1071" s="1625"/>
      <c r="AH1071" s="1625"/>
      <c r="AI1071" s="1625"/>
      <c r="AJ1071" s="1625"/>
      <c r="AK1071" s="1625"/>
      <c r="AL1071" s="1625"/>
      <c r="AM1071" s="1625"/>
      <c r="AN1071" s="1625"/>
      <c r="AO1071" s="1625"/>
      <c r="AP1071" s="1625"/>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625"/>
      <c r="E1072" s="1625"/>
      <c r="F1072" s="1625"/>
      <c r="G1072" s="1625"/>
      <c r="H1072" s="1625"/>
      <c r="I1072" s="1625"/>
      <c r="J1072" s="1625"/>
      <c r="K1072" s="1625"/>
      <c r="L1072" s="1625"/>
      <c r="M1072" s="1625"/>
      <c r="N1072" s="1625"/>
      <c r="O1072" s="1625"/>
      <c r="P1072" s="1625"/>
      <c r="Q1072" s="1625"/>
      <c r="R1072" s="1625"/>
      <c r="S1072" s="1625"/>
      <c r="T1072" s="1625"/>
      <c r="U1072" s="1625"/>
      <c r="V1072" s="1625"/>
      <c r="W1072" s="1625"/>
      <c r="X1072" s="1625"/>
      <c r="Y1072" s="1625"/>
      <c r="Z1072" s="1625"/>
      <c r="AA1072" s="1625"/>
      <c r="AB1072" s="1625"/>
      <c r="AC1072" s="1625"/>
      <c r="AD1072" s="1625"/>
      <c r="AE1072" s="1625"/>
      <c r="AF1072" s="1625"/>
      <c r="AG1072" s="1625"/>
      <c r="AH1072" s="1625"/>
      <c r="AI1072" s="1625"/>
      <c r="AJ1072" s="1625"/>
      <c r="AK1072" s="1625"/>
      <c r="AL1072" s="1625"/>
      <c r="AM1072" s="1625"/>
      <c r="AN1072" s="1625"/>
      <c r="AO1072" s="1625"/>
      <c r="AP1072" s="1625"/>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77" t="s">
        <v>124</v>
      </c>
      <c r="B1074" s="1577"/>
      <c r="C1074" s="964">
        <v>9</v>
      </c>
      <c r="D1074" s="1625" t="s">
        <v>1519</v>
      </c>
      <c r="E1074" s="1625"/>
      <c r="F1074" s="1625"/>
      <c r="G1074" s="1625"/>
      <c r="H1074" s="1625"/>
      <c r="I1074" s="1625"/>
      <c r="J1074" s="1625"/>
      <c r="K1074" s="1625"/>
      <c r="L1074" s="1625"/>
      <c r="M1074" s="1625"/>
      <c r="N1074" s="1625"/>
      <c r="O1074" s="1625"/>
      <c r="P1074" s="1625"/>
      <c r="Q1074" s="1625"/>
      <c r="R1074" s="1625"/>
      <c r="S1074" s="1625"/>
      <c r="T1074" s="1625"/>
      <c r="U1074" s="1625"/>
      <c r="V1074" s="1625"/>
      <c r="W1074" s="1625"/>
      <c r="X1074" s="1625"/>
      <c r="Y1074" s="1625"/>
      <c r="Z1074" s="1625"/>
      <c r="AA1074" s="1625"/>
      <c r="AB1074" s="1625"/>
      <c r="AC1074" s="1625"/>
      <c r="AD1074" s="1625"/>
      <c r="AE1074" s="1625"/>
      <c r="AF1074" s="1625"/>
      <c r="AG1074" s="1625"/>
      <c r="AH1074" s="1625"/>
      <c r="AI1074" s="1625"/>
      <c r="AJ1074" s="1625"/>
      <c r="AK1074" s="1625"/>
      <c r="AL1074" s="1625"/>
      <c r="AM1074" s="1625"/>
      <c r="AN1074" s="1625"/>
      <c r="AO1074" s="1625"/>
      <c r="AP1074" s="1625"/>
    </row>
    <row r="1075" spans="1:97" ht="15" customHeight="1">
      <c r="A1075" s="44"/>
      <c r="B1075" s="32"/>
      <c r="C1075" s="964"/>
      <c r="D1075" s="1625"/>
      <c r="E1075" s="1625"/>
      <c r="F1075" s="1625"/>
      <c r="G1075" s="1625"/>
      <c r="H1075" s="1625"/>
      <c r="I1075" s="1625"/>
      <c r="J1075" s="1625"/>
      <c r="K1075" s="1625"/>
      <c r="L1075" s="1625"/>
      <c r="M1075" s="1625"/>
      <c r="N1075" s="1625"/>
      <c r="O1075" s="1625"/>
      <c r="P1075" s="1625"/>
      <c r="Q1075" s="1625"/>
      <c r="R1075" s="1625"/>
      <c r="S1075" s="1625"/>
      <c r="T1075" s="1625"/>
      <c r="U1075" s="1625"/>
      <c r="V1075" s="1625"/>
      <c r="W1075" s="1625"/>
      <c r="X1075" s="1625"/>
      <c r="Y1075" s="1625"/>
      <c r="Z1075" s="1625"/>
      <c r="AA1075" s="1625"/>
      <c r="AB1075" s="1625"/>
      <c r="AC1075" s="1625"/>
      <c r="AD1075" s="1625"/>
      <c r="AE1075" s="1625"/>
      <c r="AF1075" s="1625"/>
      <c r="AG1075" s="1625"/>
      <c r="AH1075" s="1625"/>
      <c r="AI1075" s="1625"/>
      <c r="AJ1075" s="1625"/>
      <c r="AK1075" s="1625"/>
      <c r="AL1075" s="1625"/>
      <c r="AM1075" s="1625"/>
      <c r="AN1075" s="1625"/>
      <c r="AO1075" s="1625"/>
      <c r="AP1075" s="1625"/>
    </row>
    <row r="1076" spans="1:97" ht="9.75" customHeight="1">
      <c r="D1076" s="1625"/>
      <c r="E1076" s="1625"/>
      <c r="F1076" s="1625"/>
      <c r="G1076" s="1625"/>
      <c r="H1076" s="1625"/>
      <c r="I1076" s="1625"/>
      <c r="J1076" s="1625"/>
      <c r="K1076" s="1625"/>
      <c r="L1076" s="1625"/>
      <c r="M1076" s="1625"/>
      <c r="N1076" s="1625"/>
      <c r="O1076" s="1625"/>
      <c r="P1076" s="1625"/>
      <c r="Q1076" s="1625"/>
      <c r="R1076" s="1625"/>
      <c r="S1076" s="1625"/>
      <c r="T1076" s="1625"/>
      <c r="U1076" s="1625"/>
      <c r="V1076" s="1625"/>
      <c r="W1076" s="1625"/>
      <c r="X1076" s="1625"/>
      <c r="Y1076" s="1625"/>
      <c r="Z1076" s="1625"/>
      <c r="AA1076" s="1625"/>
      <c r="AB1076" s="1625"/>
      <c r="AC1076" s="1625"/>
      <c r="AD1076" s="1625"/>
      <c r="AE1076" s="1625"/>
      <c r="AF1076" s="1625"/>
      <c r="AG1076" s="1625"/>
      <c r="AH1076" s="1625"/>
      <c r="AI1076" s="1625"/>
      <c r="AJ1076" s="1625"/>
      <c r="AK1076" s="1625"/>
      <c r="AL1076" s="1625"/>
      <c r="AM1076" s="1625"/>
      <c r="AN1076" s="1625"/>
      <c r="AO1076" s="1625"/>
      <c r="AP1076" s="1625"/>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77" t="s">
        <v>124</v>
      </c>
      <c r="B1078" s="1577"/>
      <c r="C1078" s="964">
        <v>10</v>
      </c>
      <c r="D1078" s="980" t="s">
        <v>2005</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77" t="s">
        <v>124</v>
      </c>
      <c r="B1082" s="1577"/>
      <c r="C1082" s="964">
        <v>11</v>
      </c>
      <c r="D1082" s="977" t="s">
        <v>2314</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1518</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B710:F710"/>
    <mergeCell ref="K708:N708"/>
    <mergeCell ref="K710:N71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B735:F735"/>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2:R292"/>
    <mergeCell ref="H295:R295"/>
    <mergeCell ref="AA295:AK295"/>
    <mergeCell ref="AA314:AK314"/>
    <mergeCell ref="U257:W257"/>
    <mergeCell ref="AA298:AK298"/>
    <mergeCell ref="P293:R293"/>
    <mergeCell ref="Z257:AE257"/>
    <mergeCell ref="T280:V280"/>
    <mergeCell ref="H298:R298"/>
    <mergeCell ref="M258:AE258"/>
    <mergeCell ref="O164:AH164"/>
    <mergeCell ref="O163:T163"/>
    <mergeCell ref="Y180:Z1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BN632:BR632"/>
    <mergeCell ref="BN624:BR624"/>
    <mergeCell ref="BS624:BW624"/>
    <mergeCell ref="BX624:CB624"/>
    <mergeCell ref="CC624:CG624"/>
    <mergeCell ref="CH624:CL624"/>
    <mergeCell ref="CM624:CQ624"/>
    <mergeCell ref="BN625:BR625"/>
    <mergeCell ref="BS625:BW625"/>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BN633:BR633"/>
    <mergeCell ref="BS633:BW633"/>
    <mergeCell ref="BX633:CB633"/>
    <mergeCell ref="CC633:CG633"/>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29:BF629"/>
    <mergeCell ref="BG629:BH629"/>
    <mergeCell ref="BI629:BJ629"/>
    <mergeCell ref="BK629:BL629"/>
    <mergeCell ref="BE630:BF630"/>
    <mergeCell ref="BG630:BH630"/>
    <mergeCell ref="BI630:BJ630"/>
    <mergeCell ref="BK630:BL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E624:BF624"/>
    <mergeCell ref="BG624:BH624"/>
    <mergeCell ref="BI624:BJ624"/>
    <mergeCell ref="BK624:BL624"/>
    <mergeCell ref="BE625:BF625"/>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T728:X728"/>
    <mergeCell ref="Y728:AB728"/>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G709:J709"/>
    <mergeCell ref="AO638:AS638"/>
    <mergeCell ref="B727:F727"/>
    <mergeCell ref="O727:S727"/>
    <mergeCell ref="T727:X727"/>
    <mergeCell ref="Y727:AB727"/>
    <mergeCell ref="AC727:AG727"/>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H727:AL727"/>
    <mergeCell ref="AM727:AO727"/>
    <mergeCell ref="G728:J728"/>
    <mergeCell ref="K728:N728"/>
    <mergeCell ref="O728:S728"/>
    <mergeCell ref="AH706:AL706"/>
    <mergeCell ref="AM706:AO706"/>
    <mergeCell ref="AM707:AO707"/>
    <mergeCell ref="M565:P565"/>
    <mergeCell ref="C566:L566"/>
    <mergeCell ref="M566:P566"/>
    <mergeCell ref="C567:L567"/>
    <mergeCell ref="M567:P567"/>
    <mergeCell ref="C568:L568"/>
    <mergeCell ref="M568:P568"/>
    <mergeCell ref="C635:L635"/>
    <mergeCell ref="G588:R588"/>
    <mergeCell ref="H592:R592"/>
    <mergeCell ref="H584:R584"/>
    <mergeCell ref="G581:R581"/>
    <mergeCell ref="Q567:S567"/>
    <mergeCell ref="B569:AL569"/>
    <mergeCell ref="B626:L628"/>
    <mergeCell ref="G706:J706"/>
    <mergeCell ref="G707:J707"/>
    <mergeCell ref="B704:F704"/>
    <mergeCell ref="V383:W383"/>
    <mergeCell ref="AA334:AF334"/>
    <mergeCell ref="AG380:AH380"/>
    <mergeCell ref="AA339:AK339"/>
    <mergeCell ref="H335:R335"/>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AA340:AK340"/>
    <mergeCell ref="N374:AF375"/>
    <mergeCell ref="AG392:AJ392"/>
    <mergeCell ref="AA330:AK330"/>
    <mergeCell ref="AJ359:AK359"/>
    <mergeCell ref="AA343:AK343"/>
    <mergeCell ref="M359:N359"/>
    <mergeCell ref="P333:R333"/>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AC513:AF513"/>
    <mergeCell ref="AH513:AK513"/>
    <mergeCell ref="B505:H506"/>
    <mergeCell ref="K404:AJ404"/>
    <mergeCell ref="AG402:AJ402"/>
    <mergeCell ref="Q390:U390"/>
    <mergeCell ref="K405:AJ405"/>
    <mergeCell ref="S406:AJ406"/>
    <mergeCell ref="AG455:AJ455"/>
    <mergeCell ref="AH512:AK512"/>
    <mergeCell ref="AC504:AF504"/>
    <mergeCell ref="AC386:AJ386"/>
    <mergeCell ref="AJ1028:AQ1028"/>
    <mergeCell ref="D1019:AE1019"/>
    <mergeCell ref="AA301:AF301"/>
    <mergeCell ref="AA307:AK307"/>
    <mergeCell ref="AA300:AK300"/>
    <mergeCell ref="H297:R297"/>
    <mergeCell ref="M554:P556"/>
    <mergeCell ref="AA325:AF325"/>
    <mergeCell ref="H332:R332"/>
    <mergeCell ref="H301:M301"/>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AC522:AF52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E946:AK946"/>
    <mergeCell ref="AA951:AG951"/>
    <mergeCell ref="L943:S943"/>
    <mergeCell ref="AE943:AK943"/>
    <mergeCell ref="L942:S942"/>
    <mergeCell ref="D1028:AI1028"/>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W842:AC842"/>
    <mergeCell ref="W841:AC84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C816:H816"/>
    <mergeCell ref="G724:J724"/>
    <mergeCell ref="Z805:AE805"/>
    <mergeCell ref="M814:P814"/>
    <mergeCell ref="U813:X813"/>
    <mergeCell ref="AC813:AF813"/>
    <mergeCell ref="Y813:AB813"/>
    <mergeCell ref="Z612:AK612"/>
    <mergeCell ref="B717:F717"/>
    <mergeCell ref="O705:S705"/>
    <mergeCell ref="T705:X705"/>
    <mergeCell ref="Y705:AB705"/>
    <mergeCell ref="T709:X709"/>
    <mergeCell ref="Y709:AB709"/>
    <mergeCell ref="K714:N714"/>
    <mergeCell ref="M626:P628"/>
    <mergeCell ref="AK626:AN628"/>
    <mergeCell ref="M635:P635"/>
    <mergeCell ref="W635:Y635"/>
    <mergeCell ref="B714:F714"/>
    <mergeCell ref="G737:J737"/>
    <mergeCell ref="G723:J723"/>
    <mergeCell ref="Q626:S628"/>
    <mergeCell ref="T626:V628"/>
    <mergeCell ref="O709:S709"/>
    <mergeCell ref="G687:R687"/>
    <mergeCell ref="Z689:AE689"/>
    <mergeCell ref="G712:J712"/>
    <mergeCell ref="Y704:AB704"/>
    <mergeCell ref="AC704:AG704"/>
    <mergeCell ref="T707:X707"/>
    <mergeCell ref="Y707:AB707"/>
    <mergeCell ref="Z664:AK664"/>
    <mergeCell ref="AM703:AO703"/>
    <mergeCell ref="G722:J722"/>
    <mergeCell ref="G714:J714"/>
    <mergeCell ref="T714:X714"/>
    <mergeCell ref="Y714:AB714"/>
    <mergeCell ref="AC714:AG714"/>
    <mergeCell ref="AG395:AJ395"/>
    <mergeCell ref="Z435:AA435"/>
    <mergeCell ref="B523:H545"/>
    <mergeCell ref="AC536:AF536"/>
    <mergeCell ref="B707:F707"/>
    <mergeCell ref="B708:F708"/>
    <mergeCell ref="G711:J711"/>
    <mergeCell ref="K705:N705"/>
    <mergeCell ref="K703:N703"/>
    <mergeCell ref="B703:F703"/>
    <mergeCell ref="G704:J704"/>
    <mergeCell ref="K711:N711"/>
    <mergeCell ref="K704:N704"/>
    <mergeCell ref="G705:J705"/>
    <mergeCell ref="B705:F705"/>
    <mergeCell ref="B706:F706"/>
    <mergeCell ref="G710:J710"/>
    <mergeCell ref="K707:N707"/>
    <mergeCell ref="AA682:AK682"/>
    <mergeCell ref="Z635:AB635"/>
    <mergeCell ref="C564:L564"/>
    <mergeCell ref="M564:P564"/>
    <mergeCell ref="C565:L565"/>
    <mergeCell ref="G587:R587"/>
    <mergeCell ref="N609:O609"/>
    <mergeCell ref="AI591:AK591"/>
    <mergeCell ref="AG593:AH593"/>
    <mergeCell ref="Z605:AK605"/>
    <mergeCell ref="AA600:AK600"/>
    <mergeCell ref="Z626:AB628"/>
    <mergeCell ref="AG601:AH601"/>
    <mergeCell ref="W626:Y628"/>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O737:S737"/>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O762:S762"/>
    <mergeCell ref="O707:S707"/>
    <mergeCell ref="O770:S773"/>
    <mergeCell ref="AG813:AJ813"/>
    <mergeCell ref="B725:F725"/>
    <mergeCell ref="O741:R741"/>
    <mergeCell ref="B728:F728"/>
    <mergeCell ref="B718:F718"/>
    <mergeCell ref="U810:X811"/>
    <mergeCell ref="J766:K766"/>
    <mergeCell ref="J777:N777"/>
    <mergeCell ref="O764:S764"/>
    <mergeCell ref="O778:S778"/>
    <mergeCell ref="O782:S782"/>
    <mergeCell ref="B720:F720"/>
    <mergeCell ref="G708:J708"/>
    <mergeCell ref="B709:F709"/>
    <mergeCell ref="K709:N709"/>
    <mergeCell ref="B711:F711"/>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C874:AH874"/>
    <mergeCell ref="F910:T910"/>
    <mergeCell ref="F914:T914"/>
    <mergeCell ref="U914:Z914"/>
    <mergeCell ref="AA914:AF914"/>
    <mergeCell ref="U909:Z909"/>
    <mergeCell ref="H343:R343"/>
    <mergeCell ref="H340:R340"/>
    <mergeCell ref="H342:M342"/>
    <mergeCell ref="N371:Q371"/>
    <mergeCell ref="V382:W382"/>
    <mergeCell ref="AC520:AF520"/>
    <mergeCell ref="AC519:AF519"/>
    <mergeCell ref="AH526:AK526"/>
    <mergeCell ref="AH530:AK530"/>
    <mergeCell ref="AC532:AF532"/>
    <mergeCell ref="AH532:AK532"/>
    <mergeCell ref="AP884:AS884"/>
    <mergeCell ref="E872:AB872"/>
    <mergeCell ref="W853:AC853"/>
    <mergeCell ref="W854:AC854"/>
    <mergeCell ref="W862:AC862"/>
    <mergeCell ref="M864:V864"/>
    <mergeCell ref="J781:N781"/>
    <mergeCell ref="O781:S781"/>
    <mergeCell ref="U814:X814"/>
    <mergeCell ref="J756:N759"/>
    <mergeCell ref="O776:S776"/>
    <mergeCell ref="B719:F719"/>
    <mergeCell ref="B721:F721"/>
    <mergeCell ref="AG741:AJ741"/>
    <mergeCell ref="B724:F724"/>
    <mergeCell ref="B713:F713"/>
    <mergeCell ref="G719:J719"/>
    <mergeCell ref="AH707:AL707"/>
    <mergeCell ref="AH708:AL708"/>
    <mergeCell ref="AH716:AL716"/>
    <mergeCell ref="AG814:AJ814"/>
    <mergeCell ref="H293:M293"/>
    <mergeCell ref="H310:M310"/>
    <mergeCell ref="T269:X269"/>
    <mergeCell ref="AC263:AE263"/>
    <mergeCell ref="Y280:AD280"/>
    <mergeCell ref="P317:R317"/>
    <mergeCell ref="AA313:AK313"/>
    <mergeCell ref="H311:R311"/>
    <mergeCell ref="AA317:AF317"/>
    <mergeCell ref="H314:R314"/>
    <mergeCell ref="AI317:AK317"/>
    <mergeCell ref="AC784:AG784"/>
    <mergeCell ref="Z800:AE800"/>
    <mergeCell ref="M255:T255"/>
    <mergeCell ref="AC770:AG773"/>
    <mergeCell ref="J778:N778"/>
    <mergeCell ref="J761:N761"/>
    <mergeCell ref="Y366:Z366"/>
    <mergeCell ref="AI333:AK333"/>
    <mergeCell ref="AI341:AK341"/>
    <mergeCell ref="AA342:AF342"/>
    <mergeCell ref="AH516:AK516"/>
    <mergeCell ref="AH521:AK521"/>
    <mergeCell ref="AH517:AK517"/>
    <mergeCell ref="AH528:AK528"/>
    <mergeCell ref="AH529:AK529"/>
    <mergeCell ref="AC533:AF533"/>
    <mergeCell ref="AH534:AK534"/>
    <mergeCell ref="AH536:AK536"/>
    <mergeCell ref="AC539:AF539"/>
    <mergeCell ref="AJ358:AK358"/>
    <mergeCell ref="N365:O365"/>
    <mergeCell ref="M249:R249"/>
    <mergeCell ref="AA251:AK251"/>
    <mergeCell ref="AK196:AL196"/>
    <mergeCell ref="AA193:AC193"/>
    <mergeCell ref="L276:AJ276"/>
    <mergeCell ref="V278:W278"/>
    <mergeCell ref="H307:R307"/>
    <mergeCell ref="S215:T215"/>
    <mergeCell ref="H290:R290"/>
    <mergeCell ref="M240:AE240"/>
    <mergeCell ref="E187:AE188"/>
    <mergeCell ref="V215:W215"/>
    <mergeCell ref="M242:AE242"/>
    <mergeCell ref="AF261:AK261"/>
    <mergeCell ref="M254:AE254"/>
    <mergeCell ref="M264:AE264"/>
    <mergeCell ref="AI301:AK301"/>
    <mergeCell ref="L277:AD277"/>
    <mergeCell ref="W255:X255"/>
    <mergeCell ref="L279:AD279"/>
    <mergeCell ref="X272:AC272"/>
    <mergeCell ref="T196:U196"/>
    <mergeCell ref="D211:P211"/>
    <mergeCell ref="AI194:AJ194"/>
    <mergeCell ref="N191:AE192"/>
    <mergeCell ref="AA306:AK306"/>
    <mergeCell ref="M265:R265"/>
    <mergeCell ref="L282:AD282"/>
    <mergeCell ref="AA291:AK291"/>
    <mergeCell ref="H291:R291"/>
    <mergeCell ref="AA290:AK290"/>
    <mergeCell ref="AA267:AK267"/>
    <mergeCell ref="M248:AE248"/>
    <mergeCell ref="Z249:AE249"/>
    <mergeCell ref="M247:T247"/>
    <mergeCell ref="M241:T241"/>
    <mergeCell ref="AC247:AE247"/>
    <mergeCell ref="AF253:AK253"/>
    <mergeCell ref="AC255:AE255"/>
    <mergeCell ref="M256:AE256"/>
    <mergeCell ref="AA297:AK297"/>
    <mergeCell ref="M261:AE261"/>
    <mergeCell ref="H302:M302"/>
    <mergeCell ref="M263:T263"/>
    <mergeCell ref="D272:H272"/>
    <mergeCell ref="H305:R305"/>
    <mergeCell ref="U175:V175"/>
    <mergeCell ref="U176:V176"/>
    <mergeCell ref="I190:N190"/>
    <mergeCell ref="T190:AE190"/>
    <mergeCell ref="Y211:Z211"/>
    <mergeCell ref="M250:AE250"/>
    <mergeCell ref="T197:U197"/>
    <mergeCell ref="Z239:AE239"/>
    <mergeCell ref="J178:K178"/>
    <mergeCell ref="M178:N178"/>
    <mergeCell ref="AD178:AH178"/>
    <mergeCell ref="W198:X198"/>
    <mergeCell ref="AC219:AM219"/>
    <mergeCell ref="I184:AE184"/>
    <mergeCell ref="T193:U193"/>
    <mergeCell ref="M253:AE253"/>
    <mergeCell ref="R199:AB199"/>
    <mergeCell ref="U249:W249"/>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D167:Y167"/>
    <mergeCell ref="P203:U203"/>
    <mergeCell ref="W203:AB203"/>
    <mergeCell ref="W237:X237"/>
    <mergeCell ref="M358:N358"/>
    <mergeCell ref="H323:R323"/>
    <mergeCell ref="AA323:AK323"/>
    <mergeCell ref="AA315:AK315"/>
    <mergeCell ref="W263:X263"/>
    <mergeCell ref="M259:T259"/>
    <mergeCell ref="H313:R313"/>
    <mergeCell ref="M266:AE266"/>
    <mergeCell ref="AA309:AF309"/>
    <mergeCell ref="AA294:AF294"/>
    <mergeCell ref="AA310:AF310"/>
    <mergeCell ref="AA289:AK289"/>
    <mergeCell ref="AB278:AD278"/>
    <mergeCell ref="U265:W265"/>
    <mergeCell ref="L280:Q280"/>
    <mergeCell ref="H326:M326"/>
    <mergeCell ref="H339:R339"/>
    <mergeCell ref="AA329:AK329"/>
    <mergeCell ref="H331:R331"/>
    <mergeCell ref="Z265:AE265"/>
    <mergeCell ref="H294:M294"/>
    <mergeCell ref="AA305:AK305"/>
    <mergeCell ref="L278:S278"/>
    <mergeCell ref="H317:M317"/>
    <mergeCell ref="AA316:AK316"/>
    <mergeCell ref="H306:R306"/>
    <mergeCell ref="H289:R289"/>
    <mergeCell ref="M262:AE262"/>
    <mergeCell ref="AA293:AF293"/>
    <mergeCell ref="M267:T267"/>
    <mergeCell ref="AA311:AK311"/>
    <mergeCell ref="P301:R301"/>
    <mergeCell ref="AA913:AF913"/>
    <mergeCell ref="F909:T909"/>
    <mergeCell ref="H341:M341"/>
    <mergeCell ref="H330:R330"/>
    <mergeCell ref="AA321:AK321"/>
    <mergeCell ref="H319:R319"/>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G720:J720"/>
    <mergeCell ref="G721:J721"/>
    <mergeCell ref="T640:V640"/>
    <mergeCell ref="W636:Y636"/>
    <mergeCell ref="W637:Y637"/>
    <mergeCell ref="B554:L556"/>
    <mergeCell ref="C558:L558"/>
    <mergeCell ref="M558:P558"/>
    <mergeCell ref="C559:L559"/>
    <mergeCell ref="V378:W378"/>
    <mergeCell ref="J386:U386"/>
    <mergeCell ref="G730:J730"/>
    <mergeCell ref="K730:N730"/>
    <mergeCell ref="A353:AT354"/>
    <mergeCell ref="AG378:AH378"/>
    <mergeCell ref="AM554:AS556"/>
    <mergeCell ref="B716:F716"/>
    <mergeCell ref="D995:AE995"/>
    <mergeCell ref="AB974:AI974"/>
    <mergeCell ref="AJ974:AQ974"/>
    <mergeCell ref="B975:AI975"/>
    <mergeCell ref="M951:S951"/>
    <mergeCell ref="M955:S955"/>
    <mergeCell ref="AA954:AG954"/>
    <mergeCell ref="M954:S954"/>
    <mergeCell ref="AA952:AG952"/>
    <mergeCell ref="AB972:AI972"/>
    <mergeCell ref="AO636:AS636"/>
    <mergeCell ref="AC637:AE637"/>
    <mergeCell ref="AF637:AJ637"/>
    <mergeCell ref="AK637:AN637"/>
    <mergeCell ref="AO637:AS637"/>
    <mergeCell ref="AC638:AE638"/>
    <mergeCell ref="AF638:AJ638"/>
    <mergeCell ref="AK638:AN638"/>
    <mergeCell ref="G713:J713"/>
    <mergeCell ref="O703:S703"/>
    <mergeCell ref="W858:AC858"/>
    <mergeCell ref="F912:T912"/>
    <mergeCell ref="U912:Z912"/>
    <mergeCell ref="AA912:AF912"/>
    <mergeCell ref="F913:T913"/>
    <mergeCell ref="U913:Z913"/>
    <mergeCell ref="AC705:AG705"/>
    <mergeCell ref="AH705:AL705"/>
    <mergeCell ref="AJ970:AQ970"/>
    <mergeCell ref="D971:Q971"/>
    <mergeCell ref="R971:AA971"/>
    <mergeCell ref="AB971:AI971"/>
    <mergeCell ref="AJ971:AQ971"/>
    <mergeCell ref="C739:AH740"/>
    <mergeCell ref="Y703:AB703"/>
    <mergeCell ref="AC703:AG703"/>
    <mergeCell ref="AC635:AE635"/>
    <mergeCell ref="W639:Y639"/>
    <mergeCell ref="W640:Y640"/>
    <mergeCell ref="Q636:S636"/>
    <mergeCell ref="Q637:S637"/>
    <mergeCell ref="Q638:S638"/>
    <mergeCell ref="C639:L639"/>
    <mergeCell ref="C640:L640"/>
    <mergeCell ref="Z639:AB639"/>
    <mergeCell ref="Z640:AB640"/>
    <mergeCell ref="M639:P639"/>
    <mergeCell ref="M640:P640"/>
    <mergeCell ref="Q639:S639"/>
    <mergeCell ref="Q640:S640"/>
    <mergeCell ref="B643:AN643"/>
    <mergeCell ref="C636:L636"/>
    <mergeCell ref="C637:L637"/>
    <mergeCell ref="AO640:AS640"/>
    <mergeCell ref="T639:V639"/>
    <mergeCell ref="B722:F722"/>
    <mergeCell ref="AM729:AO729"/>
    <mergeCell ref="B730:F730"/>
    <mergeCell ref="G614:R614"/>
    <mergeCell ref="Z613:AK613"/>
    <mergeCell ref="Z571:AK571"/>
    <mergeCell ref="Z597:AK597"/>
    <mergeCell ref="AI575:AK575"/>
    <mergeCell ref="Z589:AK589"/>
    <mergeCell ref="G611:R611"/>
    <mergeCell ref="AO639:AS639"/>
    <mergeCell ref="AC640:AE640"/>
    <mergeCell ref="AF640:AJ640"/>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O33:P33"/>
    <mergeCell ref="O159:AH159"/>
    <mergeCell ref="O158:AH158"/>
    <mergeCell ref="O157:AH157"/>
    <mergeCell ref="M251:T251"/>
    <mergeCell ref="D208:M208"/>
    <mergeCell ref="M245:AE245"/>
    <mergeCell ref="W247:X247"/>
    <mergeCell ref="M237:T237"/>
    <mergeCell ref="O226:P226"/>
    <mergeCell ref="O227:P227"/>
    <mergeCell ref="U239:W239"/>
    <mergeCell ref="M257:R257"/>
    <mergeCell ref="D223:AI223"/>
    <mergeCell ref="T194:U194"/>
    <mergeCell ref="A29:AT31"/>
    <mergeCell ref="A39:AT46"/>
    <mergeCell ref="A48:AT49"/>
    <mergeCell ref="M25:Q25"/>
    <mergeCell ref="M27:Q27"/>
    <mergeCell ref="P325:R325"/>
    <mergeCell ref="L281:AD281"/>
    <mergeCell ref="AA259:AK259"/>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A308:AK308"/>
    <mergeCell ref="AC518:AF518"/>
    <mergeCell ref="AA341:AF341"/>
    <mergeCell ref="BE620:BF620"/>
    <mergeCell ref="BI613:BJ613"/>
    <mergeCell ref="G583:L583"/>
    <mergeCell ref="Z583:AE583"/>
    <mergeCell ref="G580:R580"/>
    <mergeCell ref="AH533:AK533"/>
    <mergeCell ref="O532:AA532"/>
    <mergeCell ref="Q562:S562"/>
    <mergeCell ref="T562:V562"/>
    <mergeCell ref="AG617:AH617"/>
    <mergeCell ref="BE619:BF619"/>
    <mergeCell ref="BG601:BH601"/>
    <mergeCell ref="BI601:BJ601"/>
    <mergeCell ref="BG599:BH599"/>
    <mergeCell ref="W562:Y562"/>
    <mergeCell ref="AE562:AH562"/>
    <mergeCell ref="AI562:AL562"/>
    <mergeCell ref="AI557:AL557"/>
    <mergeCell ref="T568:V568"/>
    <mergeCell ref="W568:Y568"/>
    <mergeCell ref="Z568:AD568"/>
    <mergeCell ref="P615:R615"/>
    <mergeCell ref="AE568:AH568"/>
    <mergeCell ref="G596:R596"/>
    <mergeCell ref="AA592:AK592"/>
    <mergeCell ref="Z598:AK598"/>
    <mergeCell ref="G591:L591"/>
    <mergeCell ref="P591:R591"/>
    <mergeCell ref="G598:R598"/>
    <mergeCell ref="N593:O593"/>
    <mergeCell ref="N601:O601"/>
    <mergeCell ref="H616:R616"/>
    <mergeCell ref="BE617:BF617"/>
    <mergeCell ref="Z614:AK614"/>
    <mergeCell ref="Z603:AK603"/>
    <mergeCell ref="BI612:BJ612"/>
    <mergeCell ref="BK608:BL608"/>
    <mergeCell ref="BI607:BJ607"/>
    <mergeCell ref="BI609:BJ609"/>
    <mergeCell ref="W204:AB204"/>
    <mergeCell ref="D203:M203"/>
    <mergeCell ref="H327:R327"/>
    <mergeCell ref="H325:M325"/>
    <mergeCell ref="AA292:AK292"/>
    <mergeCell ref="M235:AK235"/>
    <mergeCell ref="P204:U204"/>
    <mergeCell ref="AA322:AK322"/>
    <mergeCell ref="G615:L615"/>
    <mergeCell ref="H608:R608"/>
    <mergeCell ref="T559:V559"/>
    <mergeCell ref="W559:Y559"/>
    <mergeCell ref="BK612:BL612"/>
    <mergeCell ref="A231:AT232"/>
    <mergeCell ref="A284:AT285"/>
    <mergeCell ref="Z580:AK580"/>
    <mergeCell ref="G571:R571"/>
    <mergeCell ref="P583:R583"/>
    <mergeCell ref="G597:R597"/>
    <mergeCell ref="G595:R595"/>
    <mergeCell ref="G607:L607"/>
    <mergeCell ref="Z615:AE615"/>
    <mergeCell ref="N577:O577"/>
    <mergeCell ref="AI615:AK615"/>
    <mergeCell ref="Z607:AE607"/>
    <mergeCell ref="BI614:BJ614"/>
    <mergeCell ref="BG614:BH614"/>
    <mergeCell ref="BG600:BH600"/>
    <mergeCell ref="BI600:BJ600"/>
    <mergeCell ref="BI602:BJ602"/>
    <mergeCell ref="BK600:BL600"/>
    <mergeCell ref="BE600:BF600"/>
    <mergeCell ref="AE559:AH559"/>
    <mergeCell ref="AI559:AL559"/>
    <mergeCell ref="AM559:AS559"/>
    <mergeCell ref="Q557:S557"/>
    <mergeCell ref="BK613:BL613"/>
    <mergeCell ref="AE554:AH556"/>
    <mergeCell ref="AI554:AL556"/>
    <mergeCell ref="Q554:S556"/>
    <mergeCell ref="BK619:BL619"/>
    <mergeCell ref="BG609:BH609"/>
    <mergeCell ref="BE608:BF608"/>
    <mergeCell ref="BE607:BF607"/>
    <mergeCell ref="BI610:BJ610"/>
    <mergeCell ref="BI611:BJ611"/>
    <mergeCell ref="BK611:BL611"/>
    <mergeCell ref="BG603:BH603"/>
    <mergeCell ref="Z611:AK611"/>
    <mergeCell ref="Z606:AK606"/>
    <mergeCell ref="BG605:BH605"/>
    <mergeCell ref="BK605:BL605"/>
    <mergeCell ref="AG609:AH609"/>
    <mergeCell ref="BI608:BJ608"/>
    <mergeCell ref="BK610:BL610"/>
    <mergeCell ref="BG612:BH612"/>
    <mergeCell ref="BE613:BF613"/>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K601:BL601"/>
    <mergeCell ref="BE621:BF621"/>
    <mergeCell ref="BG620:BH620"/>
    <mergeCell ref="BG615:BH615"/>
    <mergeCell ref="BE611:BF611"/>
    <mergeCell ref="BE614:BF614"/>
    <mergeCell ref="BK606:BL606"/>
    <mergeCell ref="BI606:BJ606"/>
    <mergeCell ref="BG607:BH607"/>
    <mergeCell ref="BI620:BJ620"/>
    <mergeCell ref="BG613:BH613"/>
    <mergeCell ref="BE602:BF602"/>
    <mergeCell ref="BG602:BH602"/>
    <mergeCell ref="BE601:BF601"/>
    <mergeCell ref="BK620:BL620"/>
    <mergeCell ref="BE604:BF604"/>
    <mergeCell ref="BI603:BJ603"/>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17:BJ617"/>
    <mergeCell ref="BE634:BF634"/>
    <mergeCell ref="BG619:BH619"/>
    <mergeCell ref="BI605:BJ605"/>
    <mergeCell ref="BK621:BL621"/>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C748:AM755"/>
    <mergeCell ref="G727:J727"/>
    <mergeCell ref="K727:N727"/>
    <mergeCell ref="O708:S708"/>
    <mergeCell ref="T708:X708"/>
    <mergeCell ref="Y708:AB708"/>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AH709:AL709"/>
    <mergeCell ref="AM714:AO714"/>
    <mergeCell ref="O711:S711"/>
    <mergeCell ref="T711:X711"/>
    <mergeCell ref="Y711:AB711"/>
    <mergeCell ref="AC711:AG711"/>
    <mergeCell ref="AH711:AL711"/>
    <mergeCell ref="B726:F726"/>
    <mergeCell ref="AM708:AO708"/>
    <mergeCell ref="G717:J717"/>
    <mergeCell ref="G716:J716"/>
    <mergeCell ref="O710:S710"/>
    <mergeCell ref="O704:S704"/>
    <mergeCell ref="AH704:AL704"/>
    <mergeCell ref="Z672:AK672"/>
    <mergeCell ref="N675:O675"/>
    <mergeCell ref="Z670:AK670"/>
    <mergeCell ref="G671:R671"/>
    <mergeCell ref="T704:X704"/>
    <mergeCell ref="B712:F712"/>
    <mergeCell ref="G725:J725"/>
    <mergeCell ref="T724:X724"/>
    <mergeCell ref="AM699:AO702"/>
    <mergeCell ref="AM704:AO704"/>
    <mergeCell ref="AH703:AL703"/>
    <mergeCell ref="G677:R677"/>
    <mergeCell ref="AK635:AN635"/>
    <mergeCell ref="AF635:AJ635"/>
    <mergeCell ref="AC636:AE636"/>
    <mergeCell ref="Z662:AK662"/>
    <mergeCell ref="AG659:AH659"/>
    <mergeCell ref="Z661:AK661"/>
    <mergeCell ref="Z669:AK669"/>
    <mergeCell ref="Z665:AE665"/>
    <mergeCell ref="G653:R653"/>
    <mergeCell ref="AG683:AH683"/>
    <mergeCell ref="AG667:AH667"/>
    <mergeCell ref="Z653:AK653"/>
    <mergeCell ref="P649:R649"/>
    <mergeCell ref="W638:Y638"/>
    <mergeCell ref="M638:P638"/>
    <mergeCell ref="C638:L638"/>
    <mergeCell ref="M636:P636"/>
    <mergeCell ref="M637:P637"/>
    <mergeCell ref="AC639:AE639"/>
    <mergeCell ref="AF639:AJ639"/>
    <mergeCell ref="AK639:AN639"/>
    <mergeCell ref="B641:AN641"/>
    <mergeCell ref="Q635:S635"/>
    <mergeCell ref="Z637:AB637"/>
    <mergeCell ref="Z638:AB638"/>
    <mergeCell ref="T635:V635"/>
    <mergeCell ref="AM712:AO712"/>
    <mergeCell ref="AM705:AO705"/>
    <mergeCell ref="O706:S706"/>
    <mergeCell ref="T706:X706"/>
    <mergeCell ref="AO642:AS642"/>
    <mergeCell ref="G661:R661"/>
    <mergeCell ref="T703:X703"/>
    <mergeCell ref="P657:R657"/>
    <mergeCell ref="N659:O659"/>
    <mergeCell ref="AI657:AK657"/>
    <mergeCell ref="AI673:AK673"/>
    <mergeCell ref="Z636:AB636"/>
    <mergeCell ref="G673:L673"/>
    <mergeCell ref="Z687:AK687"/>
    <mergeCell ref="Y706:AB706"/>
    <mergeCell ref="AC706:AG706"/>
    <mergeCell ref="T636:V636"/>
    <mergeCell ref="T637:V637"/>
    <mergeCell ref="T638:V638"/>
    <mergeCell ref="K706:N706"/>
    <mergeCell ref="G703:J703"/>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H538:AK538"/>
    <mergeCell ref="AM562:AS562"/>
    <mergeCell ref="Q559:S559"/>
    <mergeCell ref="AM569:AS569"/>
    <mergeCell ref="Q560:S560"/>
    <mergeCell ref="AC527:AF527"/>
    <mergeCell ref="AM560:AS560"/>
    <mergeCell ref="Q561:S561"/>
    <mergeCell ref="AC541:AF541"/>
    <mergeCell ref="AH542:AK542"/>
    <mergeCell ref="AH544:AK544"/>
    <mergeCell ref="AH543:AK543"/>
    <mergeCell ref="AH545:AK545"/>
    <mergeCell ref="AH541:AK541"/>
    <mergeCell ref="G572:R572"/>
    <mergeCell ref="G573:R573"/>
    <mergeCell ref="G574:R574"/>
    <mergeCell ref="G575:L575"/>
    <mergeCell ref="H576:R576"/>
    <mergeCell ref="Z572:AK572"/>
    <mergeCell ref="Z574:AK574"/>
    <mergeCell ref="Z573:AK573"/>
    <mergeCell ref="Z575:AE575"/>
    <mergeCell ref="AF636:AJ636"/>
    <mergeCell ref="T561:V561"/>
    <mergeCell ref="W561:Y561"/>
    <mergeCell ref="G645:R645"/>
    <mergeCell ref="Z645:AK645"/>
    <mergeCell ref="G681:L681"/>
    <mergeCell ref="N651:O651"/>
    <mergeCell ref="AK636:AN636"/>
    <mergeCell ref="AG691:AH691"/>
    <mergeCell ref="AA666:AK666"/>
    <mergeCell ref="B642:AN642"/>
    <mergeCell ref="AM561:AS561"/>
    <mergeCell ref="AC521:AF521"/>
    <mergeCell ref="AH511:AK511"/>
    <mergeCell ref="AH510:AK510"/>
    <mergeCell ref="O529:AA529"/>
    <mergeCell ref="AC529:AF529"/>
    <mergeCell ref="AC512:AF512"/>
    <mergeCell ref="B517:H519"/>
    <mergeCell ref="AC510:AF510"/>
    <mergeCell ref="B507:H516"/>
    <mergeCell ref="T554:V556"/>
    <mergeCell ref="Z554:AD556"/>
    <mergeCell ref="C557:L557"/>
    <mergeCell ref="AM557:AS557"/>
    <mergeCell ref="AM558:AS558"/>
    <mergeCell ref="P607:R607"/>
    <mergeCell ref="AM563:AS563"/>
    <mergeCell ref="AM566:AS566"/>
    <mergeCell ref="AI566:AL566"/>
    <mergeCell ref="AM567:AS567"/>
    <mergeCell ref="Z688:AK688"/>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W472:Y472"/>
    <mergeCell ref="Q489:AK489"/>
    <mergeCell ref="D451:AF451"/>
    <mergeCell ref="AC456:AF456"/>
    <mergeCell ref="AH504:AK504"/>
    <mergeCell ref="AH509:AK509"/>
    <mergeCell ref="D454:AJ454"/>
    <mergeCell ref="W474:Y474"/>
    <mergeCell ref="W470:Y470"/>
    <mergeCell ref="D469:V469"/>
    <mergeCell ref="M499:P499"/>
    <mergeCell ref="Z561:AD561"/>
    <mergeCell ref="AE561:AH561"/>
    <mergeCell ref="AI561:AL561"/>
    <mergeCell ref="M557:P557"/>
    <mergeCell ref="M559:P559"/>
    <mergeCell ref="T560:V560"/>
    <mergeCell ref="W560:Y560"/>
    <mergeCell ref="Z560:AD560"/>
    <mergeCell ref="AE560:AH560"/>
    <mergeCell ref="AI560:AL560"/>
    <mergeCell ref="T557:V557"/>
    <mergeCell ref="W554:Y556"/>
    <mergeCell ref="C560:L560"/>
    <mergeCell ref="M560:P560"/>
    <mergeCell ref="O535:AA535"/>
    <mergeCell ref="AI558:AL558"/>
    <mergeCell ref="Q495:AK495"/>
    <mergeCell ref="Q498:AK498"/>
    <mergeCell ref="Q491:AK491"/>
    <mergeCell ref="B493:P494"/>
    <mergeCell ref="D476:V476"/>
    <mergeCell ref="W476:Y476"/>
    <mergeCell ref="D479:Y481"/>
    <mergeCell ref="D471:V471"/>
    <mergeCell ref="W471:Y471"/>
    <mergeCell ref="Q492:AK492"/>
    <mergeCell ref="AC542:AF542"/>
    <mergeCell ref="AC544:AF544"/>
    <mergeCell ref="AC543:AF543"/>
    <mergeCell ref="AC545:AF545"/>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AG449:AJ449"/>
    <mergeCell ref="D474:V474"/>
    <mergeCell ref="D470:V470"/>
    <mergeCell ref="W473:Y473"/>
    <mergeCell ref="D449:AF449"/>
    <mergeCell ref="W469:Y469"/>
    <mergeCell ref="P422:R422"/>
    <mergeCell ref="E419:G419"/>
    <mergeCell ref="AE425:AF425"/>
    <mergeCell ref="R413:S413"/>
    <mergeCell ref="AF419:AH419"/>
    <mergeCell ref="Q493:R494"/>
    <mergeCell ref="S493:AK494"/>
    <mergeCell ref="S378:T378"/>
    <mergeCell ref="AC371:AF371"/>
    <mergeCell ref="M360:N360"/>
    <mergeCell ref="Q394:U394"/>
    <mergeCell ref="W564:Y564"/>
    <mergeCell ref="Z564:AD564"/>
    <mergeCell ref="AE564:AH564"/>
    <mergeCell ref="AH539:AK539"/>
    <mergeCell ref="O538:AA538"/>
    <mergeCell ref="AH540:AK540"/>
    <mergeCell ref="M561:P561"/>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Q564:S56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N585:O585"/>
    <mergeCell ref="Z587:AK587"/>
    <mergeCell ref="BG606:BH606"/>
    <mergeCell ref="Z604:AK604"/>
    <mergeCell ref="BE605:BF605"/>
    <mergeCell ref="P599:R599"/>
    <mergeCell ref="G604:R604"/>
    <mergeCell ref="BX606:CB606"/>
    <mergeCell ref="CC606:CG606"/>
    <mergeCell ref="T566:V566"/>
    <mergeCell ref="BE606:BF606"/>
    <mergeCell ref="AG585:AH585"/>
    <mergeCell ref="AM564:AS564"/>
    <mergeCell ref="Q565:S565"/>
    <mergeCell ref="T565:V565"/>
    <mergeCell ref="W565:Y565"/>
    <mergeCell ref="Z565:AD565"/>
    <mergeCell ref="AE565:AH565"/>
    <mergeCell ref="AI565:AL565"/>
    <mergeCell ref="AM565:AS565"/>
    <mergeCell ref="T564:V564"/>
    <mergeCell ref="AM568:AS568"/>
    <mergeCell ref="Z579:AK579"/>
    <mergeCell ref="G579:R579"/>
    <mergeCell ref="AG577:AH577"/>
    <mergeCell ref="T567:V567"/>
    <mergeCell ref="W567:Y567"/>
    <mergeCell ref="Z567:AD567"/>
    <mergeCell ref="AE567:AH567"/>
    <mergeCell ref="AI567:AL567"/>
    <mergeCell ref="Q566:S566"/>
    <mergeCell ref="Q568:S568"/>
    <mergeCell ref="AI568:AL568"/>
    <mergeCell ref="AI564:AL564"/>
    <mergeCell ref="G599:L599"/>
    <mergeCell ref="G606:R606"/>
    <mergeCell ref="G605:R605"/>
    <mergeCell ref="P575:R575"/>
    <mergeCell ref="Z581:AK581"/>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C599:CG599"/>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599:BW599"/>
    <mergeCell ref="BX599:CB599"/>
    <mergeCell ref="CC610:CG610"/>
    <mergeCell ref="CH610:CL610"/>
    <mergeCell ref="CM610:CQ610"/>
    <mergeCell ref="BS611:BW611"/>
    <mergeCell ref="BX611:CB611"/>
    <mergeCell ref="CC611:CG611"/>
    <mergeCell ref="CH611:CL611"/>
    <mergeCell ref="CM611:CQ611"/>
    <mergeCell ref="CC604:CG604"/>
    <mergeCell ref="BS605:BW605"/>
    <mergeCell ref="BX605:CB605"/>
    <mergeCell ref="CC605:CG605"/>
    <mergeCell ref="BS606:BW606"/>
    <mergeCell ref="BS619:BW619"/>
    <mergeCell ref="BS609:BW609"/>
    <mergeCell ref="CM603:CQ603"/>
    <mergeCell ref="BX602:CB602"/>
    <mergeCell ref="CC602:CG602"/>
    <mergeCell ref="BS603:BW603"/>
    <mergeCell ref="BX603:CB603"/>
    <mergeCell ref="CC603:CG603"/>
    <mergeCell ref="BS604:BW604"/>
    <mergeCell ref="BX604:CB604"/>
    <mergeCell ref="CS621:CW621"/>
    <mergeCell ref="BN600:BR600"/>
    <mergeCell ref="BN601:BR601"/>
    <mergeCell ref="BN602:BR602"/>
    <mergeCell ref="BN603:BR603"/>
    <mergeCell ref="BN604:BR604"/>
    <mergeCell ref="BN605:BR605"/>
    <mergeCell ref="BN606:BR606"/>
    <mergeCell ref="BN607:BR607"/>
    <mergeCell ref="BN608:BR608"/>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73:AE673"/>
    <mergeCell ref="Z678:AK678"/>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AI665:AK665"/>
    <mergeCell ref="P673:R673"/>
    <mergeCell ref="Z686:AK686"/>
    <mergeCell ref="P689:R689"/>
    <mergeCell ref="Z679:AK679"/>
    <mergeCell ref="AG675:AH675"/>
    <mergeCell ref="AI681:AK681"/>
    <mergeCell ref="Z677:AK677"/>
    <mergeCell ref="G669:R669"/>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AC708:AG708"/>
    <mergeCell ref="AM709:AO709"/>
    <mergeCell ref="B699:F702"/>
    <mergeCell ref="G686:R686"/>
    <mergeCell ref="G699:J702"/>
    <mergeCell ref="Z681:AE68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3:AA973"/>
    <mergeCell ref="AB973:AI973"/>
    <mergeCell ref="AJ973:AQ973"/>
    <mergeCell ref="R970:AA970"/>
    <mergeCell ref="AB970:AI970"/>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AC819:AF819"/>
    <mergeCell ref="W836:AC836"/>
    <mergeCell ref="W838:AC838"/>
    <mergeCell ref="W844:AC844"/>
    <mergeCell ref="W830:AC830"/>
    <mergeCell ref="AA576:AK576"/>
    <mergeCell ref="AE563:AH563"/>
    <mergeCell ref="AI563:AL563"/>
    <mergeCell ref="W563:Y563"/>
    <mergeCell ref="Z562:AD562"/>
    <mergeCell ref="Q563:S563"/>
    <mergeCell ref="T563:V563"/>
    <mergeCell ref="Z563:AD563"/>
    <mergeCell ref="C561:L561"/>
    <mergeCell ref="C562:L562"/>
    <mergeCell ref="M562:P562"/>
    <mergeCell ref="C563:L563"/>
    <mergeCell ref="M563:P563"/>
    <mergeCell ref="C629:L629"/>
    <mergeCell ref="C630:L630"/>
    <mergeCell ref="C631:L631"/>
    <mergeCell ref="C632:L632"/>
    <mergeCell ref="AK629:AN629"/>
    <mergeCell ref="A619:AT620"/>
    <mergeCell ref="AO626:AS628"/>
    <mergeCell ref="AC626:AE628"/>
    <mergeCell ref="AF626:AJ628"/>
    <mergeCell ref="Z595:AK595"/>
    <mergeCell ref="G612:R612"/>
    <mergeCell ref="Z596:AK596"/>
    <mergeCell ref="Z590:AK590"/>
    <mergeCell ref="G589:R589"/>
    <mergeCell ref="G603:R603"/>
    <mergeCell ref="AA584:AK584"/>
    <mergeCell ref="N617:O617"/>
    <mergeCell ref="AA608:AK608"/>
    <mergeCell ref="G613:R613"/>
    <mergeCell ref="AO631:AS631"/>
    <mergeCell ref="AO632:AS632"/>
    <mergeCell ref="Q631:S631"/>
    <mergeCell ref="Q632:S632"/>
    <mergeCell ref="M634:P634"/>
    <mergeCell ref="M631:P631"/>
    <mergeCell ref="T631:V631"/>
    <mergeCell ref="T632:V632"/>
    <mergeCell ref="AK631:AN631"/>
    <mergeCell ref="AC632:AE632"/>
    <mergeCell ref="AC631:AE631"/>
    <mergeCell ref="AF631:AJ631"/>
    <mergeCell ref="AO633:AS633"/>
    <mergeCell ref="W631:Y631"/>
    <mergeCell ref="W632:Y632"/>
    <mergeCell ref="W633:Y633"/>
    <mergeCell ref="W634:Y634"/>
    <mergeCell ref="AO629:AS629"/>
    <mergeCell ref="M633:P633"/>
    <mergeCell ref="AK632:AN632"/>
    <mergeCell ref="T634:V634"/>
    <mergeCell ref="Q633:S633"/>
    <mergeCell ref="Z633:AB633"/>
    <mergeCell ref="Z634:AB634"/>
    <mergeCell ref="AC634:AE634"/>
    <mergeCell ref="AF634:AJ634"/>
    <mergeCell ref="AK634:AN634"/>
    <mergeCell ref="AK633:AN633"/>
    <mergeCell ref="AC633:AE633"/>
    <mergeCell ref="AF633:AJ633"/>
    <mergeCell ref="AO634:AS634"/>
    <mergeCell ref="AF632:AJ632"/>
    <mergeCell ref="AC630:AE630"/>
    <mergeCell ref="Z630:AB630"/>
    <mergeCell ref="M629:P629"/>
    <mergeCell ref="M630:P630"/>
    <mergeCell ref="AK630:AN630"/>
    <mergeCell ref="Z631:AB631"/>
    <mergeCell ref="Z632:AB632"/>
    <mergeCell ref="AF630:AJ630"/>
    <mergeCell ref="W630:Y630"/>
    <mergeCell ref="W629:Y629"/>
    <mergeCell ref="AC629:AE629"/>
    <mergeCell ref="AF629:AJ629"/>
    <mergeCell ref="Z629:AB629"/>
    <mergeCell ref="T629:V629"/>
    <mergeCell ref="T630:V630"/>
    <mergeCell ref="Q629:S629"/>
    <mergeCell ref="Q630:S630"/>
    <mergeCell ref="AO630:AS630"/>
    <mergeCell ref="G663:R663"/>
    <mergeCell ref="G664:R664"/>
    <mergeCell ref="G662:R662"/>
    <mergeCell ref="H666:R666"/>
    <mergeCell ref="G647:R647"/>
    <mergeCell ref="G648:R648"/>
    <mergeCell ref="G646:R646"/>
    <mergeCell ref="G649:L649"/>
    <mergeCell ref="H650:R650"/>
    <mergeCell ref="G656:R656"/>
    <mergeCell ref="G655:R655"/>
    <mergeCell ref="G654:R654"/>
    <mergeCell ref="G657:L657"/>
    <mergeCell ref="H658:R658"/>
    <mergeCell ref="Z647:AK647"/>
    <mergeCell ref="Z648:AK648"/>
    <mergeCell ref="Z646:AK646"/>
    <mergeCell ref="Z649:AE649"/>
    <mergeCell ref="AA650:AK650"/>
    <mergeCell ref="Z656:AK656"/>
    <mergeCell ref="Z654:AK654"/>
    <mergeCell ref="Z655:AK655"/>
    <mergeCell ref="Z657:AE657"/>
    <mergeCell ref="AA658:AK658"/>
    <mergeCell ref="Z663:AK663"/>
    <mergeCell ref="AI649:AK649"/>
    <mergeCell ref="C633:L633"/>
    <mergeCell ref="C634:L634"/>
    <mergeCell ref="T633:V633"/>
    <mergeCell ref="M632:P632"/>
    <mergeCell ref="Q634:S634"/>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5" workbookViewId="0">
      <selection activeCell="C83" sqref="C83"/>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31" t="s">
        <v>184</v>
      </c>
      <c r="G1" s="1632"/>
      <c r="H1" s="1632"/>
      <c r="I1" s="1632"/>
      <c r="J1" s="1632"/>
      <c r="K1" s="1632"/>
      <c r="L1" s="1632"/>
      <c r="M1" s="1632"/>
      <c r="N1" s="1632"/>
      <c r="O1" s="1632"/>
      <c r="P1" s="1632"/>
      <c r="Q1" s="1632"/>
      <c r="R1" s="1633"/>
      <c r="S1" s="200"/>
      <c r="T1" s="199"/>
      <c r="U1" s="201"/>
    </row>
    <row r="2" spans="1:21" s="230" customFormat="1" ht="60" customHeight="1">
      <c r="A2" s="229"/>
      <c r="B2" s="230" t="s">
        <v>797</v>
      </c>
      <c r="C2" s="230" t="s">
        <v>507</v>
      </c>
      <c r="D2" s="230" t="s">
        <v>506</v>
      </c>
      <c r="E2" s="230" t="s">
        <v>798</v>
      </c>
      <c r="F2" s="231" t="str">
        <f>Application!B629&amp;Application!C629</f>
        <v xml:space="preserve">1)Citi Bank </v>
      </c>
      <c r="G2" s="231" t="str">
        <f>Application!B630&amp;Application!C630</f>
        <v>2)Developer Fee</v>
      </c>
      <c r="H2" s="231" t="str">
        <f>Application!B631&amp;Application!C631</f>
        <v xml:space="preserve">3)Solar Tax Credits </v>
      </c>
      <c r="I2" s="231" t="str">
        <f>Application!B632&amp;Application!C632</f>
        <v xml:space="preserve">4)City of Santa Rosa </v>
      </c>
      <c r="J2" s="231" t="str">
        <f>Application!B633&amp;Application!C633</f>
        <v>5)IIG</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4200000</v>
      </c>
      <c r="C4" s="239">
        <v>4200000</v>
      </c>
      <c r="D4" s="239"/>
      <c r="E4" s="239">
        <f>+C4-SUM(F4:J4)</f>
        <v>4200000</v>
      </c>
      <c r="F4" s="239"/>
      <c r="G4" s="239"/>
      <c r="H4" s="239"/>
      <c r="I4" s="239"/>
      <c r="J4" s="239"/>
      <c r="K4" s="239"/>
      <c r="L4" s="239"/>
      <c r="M4" s="239"/>
      <c r="N4" s="239"/>
      <c r="O4" s="239"/>
      <c r="P4" s="239"/>
      <c r="Q4" s="239"/>
      <c r="R4" s="239">
        <f>C4</f>
        <v>4200000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4200000</v>
      </c>
      <c r="C8" s="238">
        <f t="shared" ref="C8:R8" si="0">SUM(C4:C7)</f>
        <v>4200000</v>
      </c>
      <c r="D8" s="238">
        <f t="shared" si="0"/>
        <v>0</v>
      </c>
      <c r="E8" s="238">
        <f t="shared" si="0"/>
        <v>4200000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4200000</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711</v>
      </c>
      <c r="B12" s="238">
        <f t="shared" ref="B12:R12" si="2">SUM(B8+B11)</f>
        <v>4200000</v>
      </c>
      <c r="C12" s="238">
        <f t="shared" si="2"/>
        <v>4200000</v>
      </c>
      <c r="D12" s="238">
        <f t="shared" si="2"/>
        <v>0</v>
      </c>
      <c r="E12" s="238">
        <f t="shared" si="2"/>
        <v>4200000</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4200000</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c r="T29" s="239"/>
      <c r="U29" s="235"/>
    </row>
    <row r="30" spans="1:21" s="236" customFormat="1">
      <c r="A30" s="237" t="s">
        <v>911</v>
      </c>
      <c r="B30" s="238">
        <f t="shared" si="6"/>
        <v>12101100</v>
      </c>
      <c r="C30" s="239">
        <v>12101100</v>
      </c>
      <c r="D30" s="239"/>
      <c r="E30" s="239">
        <f t="shared" ref="E30:E37" si="8">+C30-SUM(F30:J30)</f>
        <v>6854061</v>
      </c>
      <c r="F30" s="239">
        <f>+Application!AO629</f>
        <v>5016170</v>
      </c>
      <c r="G30" s="239"/>
      <c r="H30" s="239">
        <v>230869</v>
      </c>
      <c r="I30" s="239"/>
      <c r="J30" s="239"/>
      <c r="K30" s="239"/>
      <c r="L30" s="239"/>
      <c r="M30" s="239"/>
      <c r="N30" s="239"/>
      <c r="O30" s="239"/>
      <c r="P30" s="239"/>
      <c r="Q30" s="239"/>
      <c r="R30" s="239">
        <f>SUM(E30:Q30)</f>
        <v>12101100</v>
      </c>
      <c r="S30" s="239">
        <f>+R30</f>
        <v>12101100</v>
      </c>
      <c r="T30" s="239"/>
      <c r="U30" s="235"/>
    </row>
    <row r="31" spans="1:21" s="236" customFormat="1">
      <c r="A31" s="237" t="s">
        <v>912</v>
      </c>
      <c r="B31" s="238">
        <f t="shared" si="6"/>
        <v>726066</v>
      </c>
      <c r="C31" s="239">
        <v>726066</v>
      </c>
      <c r="D31" s="239"/>
      <c r="E31" s="239">
        <f t="shared" si="8"/>
        <v>726066</v>
      </c>
      <c r="F31" s="239"/>
      <c r="G31" s="239"/>
      <c r="H31" s="239"/>
      <c r="I31" s="239"/>
      <c r="J31" s="239"/>
      <c r="K31" s="239"/>
      <c r="L31" s="239"/>
      <c r="M31" s="239"/>
      <c r="N31" s="239"/>
      <c r="O31" s="239"/>
      <c r="P31" s="239"/>
      <c r="Q31" s="239"/>
      <c r="R31" s="239">
        <f t="shared" si="7"/>
        <v>726066</v>
      </c>
      <c r="S31" s="239">
        <f t="shared" ref="S31:S37" si="9">+R31</f>
        <v>726066</v>
      </c>
      <c r="T31" s="239"/>
      <c r="U31" s="235"/>
    </row>
    <row r="32" spans="1:21" s="236" customFormat="1">
      <c r="A32" s="237" t="s">
        <v>913</v>
      </c>
      <c r="B32" s="238">
        <f t="shared" si="6"/>
        <v>256543</v>
      </c>
      <c r="C32" s="239">
        <v>256543</v>
      </c>
      <c r="D32" s="239"/>
      <c r="E32" s="239">
        <f t="shared" si="8"/>
        <v>256543</v>
      </c>
      <c r="F32" s="239"/>
      <c r="G32" s="239"/>
      <c r="H32" s="239"/>
      <c r="I32" s="239"/>
      <c r="J32" s="239"/>
      <c r="K32" s="239"/>
      <c r="L32" s="239"/>
      <c r="M32" s="239"/>
      <c r="N32" s="239"/>
      <c r="O32" s="239"/>
      <c r="P32" s="239"/>
      <c r="Q32" s="239"/>
      <c r="R32" s="239">
        <f t="shared" si="7"/>
        <v>256543</v>
      </c>
      <c r="S32" s="239">
        <f t="shared" si="9"/>
        <v>256543</v>
      </c>
      <c r="T32" s="239"/>
      <c r="U32" s="235"/>
    </row>
    <row r="33" spans="1:21" s="236" customFormat="1">
      <c r="A33" s="237" t="s">
        <v>914</v>
      </c>
      <c r="B33" s="238">
        <f t="shared" si="6"/>
        <v>769630</v>
      </c>
      <c r="C33" s="239">
        <v>769630</v>
      </c>
      <c r="D33" s="239"/>
      <c r="E33" s="239">
        <f t="shared" si="8"/>
        <v>769630</v>
      </c>
      <c r="F33" s="239"/>
      <c r="G33" s="239"/>
      <c r="H33" s="239"/>
      <c r="I33" s="239"/>
      <c r="J33" s="239"/>
      <c r="K33" s="239"/>
      <c r="L33" s="239"/>
      <c r="M33" s="239"/>
      <c r="N33" s="239"/>
      <c r="O33" s="239"/>
      <c r="P33" s="239"/>
      <c r="Q33" s="239"/>
      <c r="R33" s="239">
        <f t="shared" si="7"/>
        <v>769630</v>
      </c>
      <c r="S33" s="239">
        <f t="shared" si="9"/>
        <v>769630</v>
      </c>
      <c r="T33" s="239"/>
      <c r="U33" s="235"/>
    </row>
    <row r="34" spans="1:21" s="236" customFormat="1">
      <c r="A34" s="237" t="s">
        <v>915</v>
      </c>
      <c r="B34" s="238">
        <f t="shared" si="6"/>
        <v>0</v>
      </c>
      <c r="C34" s="239"/>
      <c r="D34" s="239"/>
      <c r="E34" s="239">
        <f t="shared" si="8"/>
        <v>0</v>
      </c>
      <c r="F34" s="239"/>
      <c r="G34" s="239"/>
      <c r="H34" s="239"/>
      <c r="I34" s="239"/>
      <c r="J34" s="239"/>
      <c r="K34" s="239"/>
      <c r="L34" s="239"/>
      <c r="M34" s="239"/>
      <c r="N34" s="239"/>
      <c r="O34" s="239"/>
      <c r="P34" s="239"/>
      <c r="Q34" s="239"/>
      <c r="R34" s="239">
        <f t="shared" si="7"/>
        <v>0</v>
      </c>
      <c r="S34" s="239">
        <f t="shared" si="9"/>
        <v>0</v>
      </c>
      <c r="T34" s="239"/>
      <c r="U34" s="235"/>
    </row>
    <row r="35" spans="1:21" s="236" customFormat="1">
      <c r="A35" s="237" t="s">
        <v>916</v>
      </c>
      <c r="B35" s="238">
        <f t="shared" si="6"/>
        <v>415600</v>
      </c>
      <c r="C35" s="239">
        <v>415600</v>
      </c>
      <c r="D35" s="239"/>
      <c r="E35" s="239">
        <f t="shared" si="8"/>
        <v>415600</v>
      </c>
      <c r="F35" s="239"/>
      <c r="G35" s="239"/>
      <c r="H35" s="239"/>
      <c r="I35" s="239"/>
      <c r="J35" s="239"/>
      <c r="K35" s="239"/>
      <c r="L35" s="239"/>
      <c r="M35" s="239"/>
      <c r="N35" s="239"/>
      <c r="O35" s="239"/>
      <c r="P35" s="239"/>
      <c r="Q35" s="239"/>
      <c r="R35" s="239">
        <f t="shared" si="7"/>
        <v>415600</v>
      </c>
      <c r="S35" s="239">
        <f t="shared" si="9"/>
        <v>415600</v>
      </c>
      <c r="T35" s="239"/>
      <c r="U35" s="235"/>
    </row>
    <row r="36" spans="1:21" s="236" customFormat="1">
      <c r="A36" s="248" t="s">
        <v>1940</v>
      </c>
      <c r="B36" s="238">
        <f t="shared" si="6"/>
        <v>0</v>
      </c>
      <c r="C36" s="239"/>
      <c r="D36" s="239"/>
      <c r="E36" s="239">
        <f t="shared" si="8"/>
        <v>0</v>
      </c>
      <c r="F36" s="239"/>
      <c r="G36" s="239"/>
      <c r="H36" s="239"/>
      <c r="I36" s="239"/>
      <c r="J36" s="239"/>
      <c r="K36" s="239"/>
      <c r="L36" s="239"/>
      <c r="M36" s="239"/>
      <c r="N36" s="239"/>
      <c r="O36" s="239"/>
      <c r="P36" s="239"/>
      <c r="Q36" s="239"/>
      <c r="R36" s="239">
        <f t="shared" si="7"/>
        <v>0</v>
      </c>
      <c r="S36" s="239">
        <f t="shared" si="9"/>
        <v>0</v>
      </c>
      <c r="T36" s="239"/>
      <c r="U36" s="235"/>
    </row>
    <row r="37" spans="1:21" s="236" customFormat="1">
      <c r="A37" s="244" t="s">
        <v>2446</v>
      </c>
      <c r="B37" s="238">
        <f t="shared" si="6"/>
        <v>2661400</v>
      </c>
      <c r="C37" s="239">
        <v>2661400</v>
      </c>
      <c r="D37" s="239"/>
      <c r="E37" s="239">
        <f t="shared" si="8"/>
        <v>0</v>
      </c>
      <c r="F37" s="239"/>
      <c r="G37" s="239"/>
      <c r="H37" s="239"/>
      <c r="I37" s="239"/>
      <c r="J37" s="239">
        <v>2661400</v>
      </c>
      <c r="K37" s="239"/>
      <c r="L37" s="239"/>
      <c r="M37" s="239"/>
      <c r="N37" s="239"/>
      <c r="O37" s="239"/>
      <c r="P37" s="239"/>
      <c r="Q37" s="239"/>
      <c r="R37" s="239">
        <f t="shared" si="7"/>
        <v>2661400</v>
      </c>
      <c r="S37" s="239">
        <f t="shared" si="9"/>
        <v>2661400</v>
      </c>
      <c r="T37" s="239"/>
      <c r="U37" s="235"/>
    </row>
    <row r="38" spans="1:21" s="236" customFormat="1">
      <c r="A38" s="241" t="s">
        <v>919</v>
      </c>
      <c r="B38" s="238">
        <f t="shared" si="6"/>
        <v>16930339</v>
      </c>
      <c r="C38" s="238">
        <f>SUM(C29:C37)</f>
        <v>16930339</v>
      </c>
      <c r="D38" s="238">
        <f>SUM(D29:D37)</f>
        <v>0</v>
      </c>
      <c r="E38" s="238">
        <f>SUM(E29:E37)</f>
        <v>9021900</v>
      </c>
      <c r="F38" s="238">
        <f t="shared" ref="F38:T38" si="10">SUM(F29:F37)</f>
        <v>5016170</v>
      </c>
      <c r="G38" s="238">
        <f t="shared" si="10"/>
        <v>0</v>
      </c>
      <c r="H38" s="238">
        <f t="shared" si="10"/>
        <v>230869</v>
      </c>
      <c r="I38" s="238">
        <f t="shared" si="10"/>
        <v>0</v>
      </c>
      <c r="J38" s="238">
        <f t="shared" si="10"/>
        <v>2661400</v>
      </c>
      <c r="K38" s="238">
        <f t="shared" si="10"/>
        <v>0</v>
      </c>
      <c r="L38" s="238">
        <f t="shared" si="10"/>
        <v>0</v>
      </c>
      <c r="M38" s="238">
        <f t="shared" si="10"/>
        <v>0</v>
      </c>
      <c r="N38" s="238">
        <f t="shared" si="10"/>
        <v>0</v>
      </c>
      <c r="O38" s="238">
        <f t="shared" si="10"/>
        <v>0</v>
      </c>
      <c r="P38" s="238">
        <f t="shared" si="10"/>
        <v>0</v>
      </c>
      <c r="Q38" s="238">
        <f t="shared" si="10"/>
        <v>0</v>
      </c>
      <c r="R38" s="238">
        <f t="shared" si="10"/>
        <v>16930339</v>
      </c>
      <c r="S38" s="242">
        <f t="shared" si="10"/>
        <v>16930339</v>
      </c>
      <c r="T38" s="242">
        <f t="shared" si="10"/>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800000</v>
      </c>
      <c r="C40" s="239">
        <v>800000</v>
      </c>
      <c r="D40" s="239"/>
      <c r="E40" s="239">
        <f t="shared" ref="E40:E41" si="11">+C40-SUM(F40:J40)</f>
        <v>200000</v>
      </c>
      <c r="F40" s="239"/>
      <c r="G40" s="239"/>
      <c r="H40" s="239"/>
      <c r="I40" s="239">
        <v>600000</v>
      </c>
      <c r="J40" s="239"/>
      <c r="K40" s="239"/>
      <c r="L40" s="239"/>
      <c r="M40" s="239"/>
      <c r="N40" s="239"/>
      <c r="O40" s="239"/>
      <c r="P40" s="239"/>
      <c r="Q40" s="239"/>
      <c r="R40" s="239">
        <f>SUM(E40:Q40)</f>
        <v>800000</v>
      </c>
      <c r="S40" s="239">
        <f t="shared" ref="S40:S41" si="12">+R40</f>
        <v>800000</v>
      </c>
      <c r="T40" s="239"/>
      <c r="U40" s="235"/>
    </row>
    <row r="41" spans="1:21" s="236" customFormat="1">
      <c r="A41" s="237" t="s">
        <v>922</v>
      </c>
      <c r="B41" s="238">
        <f>SUM(C41+D41)</f>
        <v>0</v>
      </c>
      <c r="C41" s="239"/>
      <c r="D41" s="239"/>
      <c r="E41" s="239">
        <f t="shared" si="11"/>
        <v>0</v>
      </c>
      <c r="F41" s="239"/>
      <c r="G41" s="239"/>
      <c r="H41" s="239"/>
      <c r="I41" s="239"/>
      <c r="J41" s="239"/>
      <c r="K41" s="239"/>
      <c r="L41" s="239"/>
      <c r="M41" s="239"/>
      <c r="N41" s="239"/>
      <c r="O41" s="239"/>
      <c r="P41" s="239"/>
      <c r="Q41" s="239"/>
      <c r="R41" s="239">
        <f>SUM(E41:Q41)</f>
        <v>0</v>
      </c>
      <c r="S41" s="239">
        <f t="shared" si="12"/>
        <v>0</v>
      </c>
      <c r="T41" s="239"/>
      <c r="U41" s="235"/>
    </row>
    <row r="42" spans="1:21" s="236" customFormat="1">
      <c r="A42" s="241" t="s">
        <v>923</v>
      </c>
      <c r="B42" s="238">
        <f>SUM(C42:D42)</f>
        <v>800000</v>
      </c>
      <c r="C42" s="238">
        <f>SUM(C39:C41)</f>
        <v>800000</v>
      </c>
      <c r="D42" s="238">
        <f>SUM(D39:D41)</f>
        <v>0</v>
      </c>
      <c r="E42" s="238">
        <f t="shared" ref="E42:T42" si="13">SUM(E40:E41)</f>
        <v>200000</v>
      </c>
      <c r="F42" s="238">
        <f t="shared" si="13"/>
        <v>0</v>
      </c>
      <c r="G42" s="238">
        <f t="shared" si="13"/>
        <v>0</v>
      </c>
      <c r="H42" s="238">
        <f t="shared" si="13"/>
        <v>0</v>
      </c>
      <c r="I42" s="238">
        <f t="shared" si="13"/>
        <v>600000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800000</v>
      </c>
      <c r="S42" s="242">
        <f t="shared" si="13"/>
        <v>800000</v>
      </c>
      <c r="T42" s="242">
        <f t="shared" si="13"/>
        <v>0</v>
      </c>
      <c r="U42" s="235"/>
    </row>
    <row r="43" spans="1:21" s="236" customFormat="1">
      <c r="A43" s="241" t="s">
        <v>924</v>
      </c>
      <c r="B43" s="238">
        <f>SUM(C43:D43)</f>
        <v>100000</v>
      </c>
      <c r="C43" s="239">
        <v>100000</v>
      </c>
      <c r="D43" s="239"/>
      <c r="E43" s="239">
        <f t="shared" ref="E43:E52" si="14">+C43-SUM(F43:J43)</f>
        <v>0</v>
      </c>
      <c r="F43" s="239">
        <v>0</v>
      </c>
      <c r="G43" s="239"/>
      <c r="H43" s="239"/>
      <c r="I43" s="239">
        <v>100000</v>
      </c>
      <c r="J43" s="239"/>
      <c r="K43" s="239"/>
      <c r="L43" s="239"/>
      <c r="M43" s="239"/>
      <c r="N43" s="239"/>
      <c r="O43" s="239"/>
      <c r="P43" s="239"/>
      <c r="Q43" s="239"/>
      <c r="R43" s="239">
        <f>SUM(E43:Q43)</f>
        <v>100000</v>
      </c>
      <c r="S43" s="239">
        <f>+R43</f>
        <v>100000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5">SUM(C45+D45)</f>
        <v>1392228</v>
      </c>
      <c r="C45" s="239">
        <v>1392228</v>
      </c>
      <c r="D45" s="239"/>
      <c r="E45" s="239">
        <f t="shared" si="14"/>
        <v>1342228</v>
      </c>
      <c r="F45" s="239"/>
      <c r="G45" s="239"/>
      <c r="H45" s="239"/>
      <c r="I45" s="239">
        <v>50000</v>
      </c>
      <c r="J45" s="239"/>
      <c r="K45" s="239"/>
      <c r="L45" s="239"/>
      <c r="M45" s="239"/>
      <c r="N45" s="239"/>
      <c r="O45" s="239"/>
      <c r="P45" s="239"/>
      <c r="Q45" s="239"/>
      <c r="R45" s="239">
        <f t="shared" ref="R45:R52" si="16">SUM(E45:Q45)</f>
        <v>1392228</v>
      </c>
      <c r="S45" s="239">
        <f t="shared" ref="S45:S52" si="17">+R45</f>
        <v>1392228</v>
      </c>
      <c r="T45" s="239"/>
      <c r="U45" s="235"/>
    </row>
    <row r="46" spans="1:21" s="236" customFormat="1">
      <c r="A46" s="237" t="s">
        <v>927</v>
      </c>
      <c r="B46" s="238">
        <f t="shared" si="15"/>
        <v>287173</v>
      </c>
      <c r="C46" s="239">
        <v>287173</v>
      </c>
      <c r="D46" s="239"/>
      <c r="E46" s="239">
        <f t="shared" si="14"/>
        <v>287173</v>
      </c>
      <c r="F46" s="239"/>
      <c r="G46" s="239"/>
      <c r="H46" s="239"/>
      <c r="I46" s="239"/>
      <c r="J46" s="239"/>
      <c r="K46" s="239"/>
      <c r="L46" s="239"/>
      <c r="M46" s="239"/>
      <c r="N46" s="239"/>
      <c r="O46" s="239"/>
      <c r="P46" s="239"/>
      <c r="Q46" s="239"/>
      <c r="R46" s="239">
        <f t="shared" si="16"/>
        <v>287173</v>
      </c>
      <c r="S46" s="239">
        <f t="shared" si="17"/>
        <v>287173</v>
      </c>
      <c r="T46" s="239"/>
      <c r="U46" s="235"/>
    </row>
    <row r="47" spans="1:21" s="236" customFormat="1" ht="12" customHeight="1">
      <c r="A47" s="237" t="s">
        <v>928</v>
      </c>
      <c r="B47" s="238">
        <f t="shared" si="15"/>
        <v>35000</v>
      </c>
      <c r="C47" s="239">
        <v>35000</v>
      </c>
      <c r="D47" s="239"/>
      <c r="E47" s="239">
        <f t="shared" si="14"/>
        <v>35000</v>
      </c>
      <c r="F47" s="239"/>
      <c r="G47" s="239"/>
      <c r="H47" s="239"/>
      <c r="I47" s="239"/>
      <c r="J47" s="239"/>
      <c r="K47" s="239"/>
      <c r="L47" s="239"/>
      <c r="M47" s="239"/>
      <c r="N47" s="239"/>
      <c r="O47" s="239"/>
      <c r="P47" s="239"/>
      <c r="Q47" s="239"/>
      <c r="R47" s="239">
        <f t="shared" si="16"/>
        <v>35000</v>
      </c>
      <c r="S47" s="239">
        <f t="shared" si="17"/>
        <v>35000</v>
      </c>
      <c r="T47" s="239"/>
      <c r="U47" s="235"/>
    </row>
    <row r="48" spans="1:21" s="236" customFormat="1">
      <c r="A48" s="237" t="s">
        <v>929</v>
      </c>
      <c r="B48" s="238">
        <f t="shared" si="15"/>
        <v>0</v>
      </c>
      <c r="C48" s="239"/>
      <c r="D48" s="239"/>
      <c r="E48" s="239">
        <f t="shared" si="14"/>
        <v>0</v>
      </c>
      <c r="F48" s="239"/>
      <c r="G48" s="239"/>
      <c r="H48" s="239"/>
      <c r="I48" s="239"/>
      <c r="J48" s="239"/>
      <c r="K48" s="239"/>
      <c r="L48" s="239"/>
      <c r="M48" s="239"/>
      <c r="N48" s="239"/>
      <c r="O48" s="239"/>
      <c r="P48" s="239"/>
      <c r="Q48" s="239"/>
      <c r="R48" s="239">
        <f t="shared" si="16"/>
        <v>0</v>
      </c>
      <c r="S48" s="239">
        <f t="shared" si="17"/>
        <v>0</v>
      </c>
      <c r="T48" s="239"/>
      <c r="U48" s="235"/>
    </row>
    <row r="49" spans="1:21" s="236" customFormat="1">
      <c r="A49" s="237" t="s">
        <v>932</v>
      </c>
      <c r="B49" s="238">
        <f t="shared" si="15"/>
        <v>40000</v>
      </c>
      <c r="C49" s="239">
        <v>40000</v>
      </c>
      <c r="D49" s="239"/>
      <c r="E49" s="239">
        <f t="shared" si="14"/>
        <v>40000</v>
      </c>
      <c r="F49" s="239"/>
      <c r="G49" s="239"/>
      <c r="H49" s="239"/>
      <c r="I49" s="239"/>
      <c r="J49" s="239"/>
      <c r="K49" s="239"/>
      <c r="L49" s="239"/>
      <c r="M49" s="239"/>
      <c r="N49" s="239"/>
      <c r="O49" s="239"/>
      <c r="P49" s="239"/>
      <c r="Q49" s="239"/>
      <c r="R49" s="239">
        <f t="shared" si="16"/>
        <v>40000</v>
      </c>
      <c r="S49" s="239">
        <f t="shared" si="17"/>
        <v>40000</v>
      </c>
      <c r="T49" s="239"/>
      <c r="U49" s="235"/>
    </row>
    <row r="50" spans="1:21" s="236" customFormat="1">
      <c r="A50" s="237" t="s">
        <v>930</v>
      </c>
      <c r="B50" s="238">
        <f t="shared" si="15"/>
        <v>84000</v>
      </c>
      <c r="C50" s="239">
        <v>84000</v>
      </c>
      <c r="D50" s="239"/>
      <c r="E50" s="239">
        <f t="shared" si="14"/>
        <v>84000</v>
      </c>
      <c r="F50" s="239"/>
      <c r="G50" s="239"/>
      <c r="H50" s="239"/>
      <c r="I50" s="239"/>
      <c r="J50" s="239"/>
      <c r="K50" s="239"/>
      <c r="L50" s="239"/>
      <c r="M50" s="239"/>
      <c r="N50" s="239"/>
      <c r="O50" s="239"/>
      <c r="P50" s="239"/>
      <c r="Q50" s="239"/>
      <c r="R50" s="239">
        <f t="shared" si="16"/>
        <v>84000</v>
      </c>
      <c r="S50" s="239">
        <f t="shared" si="17"/>
        <v>84000</v>
      </c>
      <c r="T50" s="239"/>
      <c r="U50" s="235"/>
    </row>
    <row r="51" spans="1:21" s="236" customFormat="1">
      <c r="A51" s="237" t="s">
        <v>931</v>
      </c>
      <c r="B51" s="238">
        <f t="shared" si="15"/>
        <v>0</v>
      </c>
      <c r="C51" s="239"/>
      <c r="D51" s="239"/>
      <c r="E51" s="239">
        <f t="shared" si="14"/>
        <v>0</v>
      </c>
      <c r="F51" s="239"/>
      <c r="G51" s="239"/>
      <c r="H51" s="239"/>
      <c r="I51" s="239"/>
      <c r="J51" s="239"/>
      <c r="K51" s="239"/>
      <c r="L51" s="239"/>
      <c r="M51" s="239"/>
      <c r="N51" s="239"/>
      <c r="O51" s="239"/>
      <c r="P51" s="239"/>
      <c r="Q51" s="239"/>
      <c r="R51" s="239">
        <f t="shared" si="16"/>
        <v>0</v>
      </c>
      <c r="S51" s="239">
        <f t="shared" si="17"/>
        <v>0</v>
      </c>
      <c r="T51" s="239"/>
      <c r="U51" s="235"/>
    </row>
    <row r="52" spans="1:21" s="236" customFormat="1">
      <c r="A52" s="244" t="s">
        <v>2472</v>
      </c>
      <c r="B52" s="238">
        <f t="shared" si="15"/>
        <v>20000</v>
      </c>
      <c r="C52" s="239">
        <v>20000</v>
      </c>
      <c r="D52" s="239"/>
      <c r="E52" s="239">
        <f t="shared" si="14"/>
        <v>20000</v>
      </c>
      <c r="F52" s="239"/>
      <c r="G52" s="239"/>
      <c r="H52" s="239"/>
      <c r="I52" s="239"/>
      <c r="J52" s="239"/>
      <c r="K52" s="239"/>
      <c r="L52" s="239"/>
      <c r="M52" s="239"/>
      <c r="N52" s="239"/>
      <c r="O52" s="239"/>
      <c r="P52" s="239"/>
      <c r="Q52" s="239"/>
      <c r="R52" s="239">
        <f t="shared" si="16"/>
        <v>20000</v>
      </c>
      <c r="S52" s="239">
        <f t="shared" si="17"/>
        <v>20000</v>
      </c>
      <c r="T52" s="239"/>
      <c r="U52" s="235"/>
    </row>
    <row r="53" spans="1:21" s="246" customFormat="1">
      <c r="A53" s="241" t="s">
        <v>933</v>
      </c>
      <c r="B53" s="242">
        <f>SUM(C53:D53)</f>
        <v>1858401</v>
      </c>
      <c r="C53" s="242">
        <f t="shared" ref="C53:T53" si="18">SUM(C45:C52)</f>
        <v>1858401</v>
      </c>
      <c r="D53" s="242">
        <f t="shared" si="18"/>
        <v>0</v>
      </c>
      <c r="E53" s="242">
        <f t="shared" si="18"/>
        <v>1808401</v>
      </c>
      <c r="F53" s="242">
        <f t="shared" si="18"/>
        <v>0</v>
      </c>
      <c r="G53" s="242">
        <f t="shared" si="18"/>
        <v>0</v>
      </c>
      <c r="H53" s="242">
        <f t="shared" si="18"/>
        <v>0</v>
      </c>
      <c r="I53" s="242">
        <f t="shared" si="18"/>
        <v>50000</v>
      </c>
      <c r="J53" s="242">
        <f t="shared" si="18"/>
        <v>0</v>
      </c>
      <c r="K53" s="242">
        <f t="shared" si="18"/>
        <v>0</v>
      </c>
      <c r="L53" s="242">
        <f t="shared" si="18"/>
        <v>0</v>
      </c>
      <c r="M53" s="242">
        <f t="shared" si="18"/>
        <v>0</v>
      </c>
      <c r="N53" s="242">
        <f t="shared" si="18"/>
        <v>0</v>
      </c>
      <c r="O53" s="242">
        <f t="shared" si="18"/>
        <v>0</v>
      </c>
      <c r="P53" s="242">
        <f t="shared" si="18"/>
        <v>0</v>
      </c>
      <c r="Q53" s="242">
        <f t="shared" si="18"/>
        <v>0</v>
      </c>
      <c r="R53" s="238">
        <f t="shared" si="18"/>
        <v>1858401</v>
      </c>
      <c r="S53" s="242">
        <f t="shared" si="18"/>
        <v>1858401</v>
      </c>
      <c r="T53" s="242">
        <f t="shared" si="18"/>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9">SUM(C55+D55)</f>
        <v>0</v>
      </c>
      <c r="C55" s="239"/>
      <c r="D55" s="239"/>
      <c r="E55" s="239">
        <f t="shared" ref="E55:E60" si="20">+C55-SUM(F55:J55)</f>
        <v>0</v>
      </c>
      <c r="F55" s="239"/>
      <c r="G55" s="239"/>
      <c r="H55" s="239"/>
      <c r="I55" s="239"/>
      <c r="J55" s="239"/>
      <c r="K55" s="239"/>
      <c r="L55" s="239"/>
      <c r="M55" s="239"/>
      <c r="N55" s="239"/>
      <c r="O55" s="239"/>
      <c r="P55" s="239"/>
      <c r="Q55" s="239"/>
      <c r="R55" s="239">
        <f t="shared" ref="R55:R60" si="21">SUM(E55:Q55)</f>
        <v>0</v>
      </c>
      <c r="S55" s="240"/>
      <c r="T55" s="240"/>
      <c r="U55" s="235"/>
    </row>
    <row r="56" spans="1:21" s="236" customFormat="1" ht="12" customHeight="1">
      <c r="A56" s="237" t="s">
        <v>928</v>
      </c>
      <c r="B56" s="238">
        <f t="shared" si="19"/>
        <v>10000</v>
      </c>
      <c r="C56" s="239">
        <v>10000</v>
      </c>
      <c r="D56" s="239"/>
      <c r="E56" s="239">
        <f t="shared" si="20"/>
        <v>10000</v>
      </c>
      <c r="F56" s="239"/>
      <c r="G56" s="239"/>
      <c r="H56" s="239"/>
      <c r="I56" s="239"/>
      <c r="J56" s="239"/>
      <c r="K56" s="239"/>
      <c r="L56" s="239"/>
      <c r="M56" s="239"/>
      <c r="N56" s="239"/>
      <c r="O56" s="239"/>
      <c r="P56" s="239"/>
      <c r="Q56" s="239"/>
      <c r="R56" s="239">
        <f t="shared" si="21"/>
        <v>10000</v>
      </c>
      <c r="S56" s="240"/>
      <c r="T56" s="240"/>
      <c r="U56" s="235"/>
    </row>
    <row r="57" spans="1:21" s="236" customFormat="1">
      <c r="A57" s="237" t="s">
        <v>932</v>
      </c>
      <c r="B57" s="238">
        <f t="shared" si="19"/>
        <v>5000</v>
      </c>
      <c r="C57" s="239">
        <v>5000</v>
      </c>
      <c r="D57" s="239"/>
      <c r="E57" s="239">
        <f t="shared" si="20"/>
        <v>5000</v>
      </c>
      <c r="F57" s="239"/>
      <c r="G57" s="239"/>
      <c r="H57" s="239"/>
      <c r="I57" s="239"/>
      <c r="J57" s="239"/>
      <c r="K57" s="239"/>
      <c r="L57" s="239"/>
      <c r="M57" s="239"/>
      <c r="N57" s="239"/>
      <c r="O57" s="239"/>
      <c r="P57" s="239"/>
      <c r="Q57" s="239"/>
      <c r="R57" s="239">
        <f t="shared" si="21"/>
        <v>5000</v>
      </c>
      <c r="S57" s="240"/>
      <c r="T57" s="240"/>
      <c r="U57" s="235"/>
    </row>
    <row r="58" spans="1:21" s="236" customFormat="1">
      <c r="A58" s="237" t="s">
        <v>930</v>
      </c>
      <c r="B58" s="238">
        <f t="shared" si="19"/>
        <v>0</v>
      </c>
      <c r="C58" s="239"/>
      <c r="D58" s="239"/>
      <c r="E58" s="239">
        <f t="shared" si="20"/>
        <v>0</v>
      </c>
      <c r="F58" s="239"/>
      <c r="G58" s="239"/>
      <c r="H58" s="239"/>
      <c r="I58" s="239"/>
      <c r="J58" s="239"/>
      <c r="K58" s="239"/>
      <c r="L58" s="239"/>
      <c r="M58" s="239"/>
      <c r="N58" s="239"/>
      <c r="O58" s="239"/>
      <c r="P58" s="239"/>
      <c r="Q58" s="239"/>
      <c r="R58" s="239">
        <f t="shared" si="21"/>
        <v>0</v>
      </c>
      <c r="S58" s="240"/>
      <c r="T58" s="240"/>
      <c r="U58" s="235"/>
    </row>
    <row r="59" spans="1:21" s="236" customFormat="1">
      <c r="A59" s="237" t="s">
        <v>931</v>
      </c>
      <c r="B59" s="238">
        <f t="shared" si="19"/>
        <v>0</v>
      </c>
      <c r="C59" s="239"/>
      <c r="D59" s="239"/>
      <c r="E59" s="239">
        <f t="shared" si="20"/>
        <v>0</v>
      </c>
      <c r="F59" s="239"/>
      <c r="G59" s="239"/>
      <c r="H59" s="239"/>
      <c r="I59" s="239"/>
      <c r="J59" s="239"/>
      <c r="K59" s="239"/>
      <c r="L59" s="239"/>
      <c r="M59" s="239"/>
      <c r="N59" s="239"/>
      <c r="O59" s="239"/>
      <c r="P59" s="239"/>
      <c r="Q59" s="239"/>
      <c r="R59" s="239">
        <f t="shared" si="21"/>
        <v>0</v>
      </c>
      <c r="S59" s="240"/>
      <c r="T59" s="240"/>
      <c r="U59" s="235"/>
    </row>
    <row r="60" spans="1:21" s="236" customFormat="1">
      <c r="A60" s="244" t="s">
        <v>533</v>
      </c>
      <c r="B60" s="238">
        <f t="shared" si="19"/>
        <v>0</v>
      </c>
      <c r="C60" s="239"/>
      <c r="D60" s="239"/>
      <c r="E60" s="239">
        <f t="shared" si="20"/>
        <v>0</v>
      </c>
      <c r="F60" s="239"/>
      <c r="G60" s="239"/>
      <c r="H60" s="239"/>
      <c r="I60" s="239"/>
      <c r="J60" s="239"/>
      <c r="K60" s="239"/>
      <c r="L60" s="239"/>
      <c r="M60" s="239"/>
      <c r="N60" s="239"/>
      <c r="O60" s="239"/>
      <c r="P60" s="239"/>
      <c r="Q60" s="239"/>
      <c r="R60" s="239">
        <f t="shared" si="21"/>
        <v>0</v>
      </c>
      <c r="S60" s="240"/>
      <c r="T60" s="240"/>
      <c r="U60" s="235"/>
    </row>
    <row r="61" spans="1:21" s="236" customFormat="1" ht="13.9" customHeight="1">
      <c r="A61" s="241" t="s">
        <v>500</v>
      </c>
      <c r="B61" s="238">
        <f>SUM(C61:D61)</f>
        <v>15000</v>
      </c>
      <c r="C61" s="238">
        <f t="shared" ref="C61:R61" si="22">SUM(C55:C60)</f>
        <v>15000</v>
      </c>
      <c r="D61" s="238">
        <f t="shared" si="22"/>
        <v>0</v>
      </c>
      <c r="E61" s="238">
        <f t="shared" si="22"/>
        <v>15000</v>
      </c>
      <c r="F61" s="238">
        <f t="shared" si="22"/>
        <v>0</v>
      </c>
      <c r="G61" s="238">
        <f t="shared" si="22"/>
        <v>0</v>
      </c>
      <c r="H61" s="238">
        <f t="shared" si="22"/>
        <v>0</v>
      </c>
      <c r="I61" s="238">
        <f t="shared" si="22"/>
        <v>0</v>
      </c>
      <c r="J61" s="238">
        <f t="shared" si="22"/>
        <v>0</v>
      </c>
      <c r="K61" s="238">
        <f t="shared" si="22"/>
        <v>0</v>
      </c>
      <c r="L61" s="238">
        <f t="shared" si="22"/>
        <v>0</v>
      </c>
      <c r="M61" s="238">
        <f t="shared" si="22"/>
        <v>0</v>
      </c>
      <c r="N61" s="238">
        <f t="shared" si="22"/>
        <v>0</v>
      </c>
      <c r="O61" s="238">
        <f t="shared" si="22"/>
        <v>0</v>
      </c>
      <c r="P61" s="238">
        <f t="shared" si="22"/>
        <v>0</v>
      </c>
      <c r="Q61" s="238">
        <f t="shared" si="22"/>
        <v>0</v>
      </c>
      <c r="R61" s="238">
        <f t="shared" si="22"/>
        <v>15000</v>
      </c>
      <c r="S61" s="240"/>
      <c r="T61" s="240"/>
      <c r="U61" s="235"/>
    </row>
    <row r="62" spans="1:21" s="236" customFormat="1">
      <c r="A62" s="247" t="s">
        <v>501</v>
      </c>
      <c r="B62" s="238">
        <f>SUM(C62:D62)</f>
        <v>23903740</v>
      </c>
      <c r="C62" s="238">
        <f t="shared" ref="C62:R62" si="23">SUM(C8+C11+C13+C14+C15+C26+C27+C38+C42+C43+C53+C61)</f>
        <v>23903740</v>
      </c>
      <c r="D62" s="238">
        <f t="shared" si="23"/>
        <v>0</v>
      </c>
      <c r="E62" s="238">
        <f t="shared" si="23"/>
        <v>15245301</v>
      </c>
      <c r="F62" s="238">
        <f t="shared" si="23"/>
        <v>5016170</v>
      </c>
      <c r="G62" s="238">
        <f t="shared" si="23"/>
        <v>0</v>
      </c>
      <c r="H62" s="238">
        <f t="shared" si="23"/>
        <v>230869</v>
      </c>
      <c r="I62" s="238">
        <f t="shared" si="23"/>
        <v>750000</v>
      </c>
      <c r="J62" s="238">
        <f t="shared" si="23"/>
        <v>2661400</v>
      </c>
      <c r="K62" s="238">
        <f t="shared" si="23"/>
        <v>0</v>
      </c>
      <c r="L62" s="238">
        <f t="shared" si="23"/>
        <v>0</v>
      </c>
      <c r="M62" s="238">
        <f t="shared" si="23"/>
        <v>0</v>
      </c>
      <c r="N62" s="238">
        <f t="shared" si="23"/>
        <v>0</v>
      </c>
      <c r="O62" s="238">
        <f t="shared" si="23"/>
        <v>0</v>
      </c>
      <c r="P62" s="238">
        <f t="shared" si="23"/>
        <v>0</v>
      </c>
      <c r="Q62" s="238">
        <f t="shared" si="23"/>
        <v>0</v>
      </c>
      <c r="R62" s="238">
        <f t="shared" si="23"/>
        <v>23903740</v>
      </c>
      <c r="S62" s="238">
        <f>SUM(S10+S13+S14+S15+S26+S27+S38+S42+S43+S53)</f>
        <v>19688740</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65000</v>
      </c>
      <c r="D64" s="239"/>
      <c r="E64" s="239">
        <f t="shared" ref="E64:E68" si="24">+C64-SUM(F64:J64)</f>
        <v>65000</v>
      </c>
      <c r="F64" s="239"/>
      <c r="G64" s="239"/>
      <c r="H64" s="239"/>
      <c r="I64" s="239"/>
      <c r="J64" s="239"/>
      <c r="K64" s="239"/>
      <c r="L64" s="239"/>
      <c r="M64" s="239"/>
      <c r="N64" s="239"/>
      <c r="O64" s="239"/>
      <c r="P64" s="239"/>
      <c r="Q64" s="239"/>
      <c r="R64" s="239">
        <f>SUM(E64:Q64)</f>
        <v>65000</v>
      </c>
      <c r="S64" s="239">
        <f t="shared" ref="S64:S68" si="25">+R64</f>
        <v>65000</v>
      </c>
      <c r="T64" s="239"/>
      <c r="U64" s="235"/>
    </row>
    <row r="65" spans="1:21" s="236" customFormat="1" ht="24">
      <c r="A65" s="237" t="s">
        <v>1942</v>
      </c>
      <c r="B65" s="238">
        <f>SUM(C65+D65)</f>
        <v>0</v>
      </c>
      <c r="C65" s="239"/>
      <c r="D65" s="239"/>
      <c r="E65" s="239">
        <f t="shared" si="24"/>
        <v>0</v>
      </c>
      <c r="F65" s="239"/>
      <c r="G65" s="239"/>
      <c r="H65" s="239"/>
      <c r="I65" s="239"/>
      <c r="J65" s="239"/>
      <c r="K65" s="239"/>
      <c r="L65" s="239"/>
      <c r="M65" s="239"/>
      <c r="N65" s="239"/>
      <c r="O65" s="239"/>
      <c r="P65" s="239"/>
      <c r="Q65" s="239"/>
      <c r="R65" s="239">
        <f>SUM(E65:Q65)</f>
        <v>0</v>
      </c>
      <c r="S65" s="239">
        <f t="shared" si="25"/>
        <v>0</v>
      </c>
      <c r="T65" s="239"/>
      <c r="U65" s="235"/>
    </row>
    <row r="66" spans="1:21" s="236" customFormat="1" ht="24">
      <c r="A66" s="237" t="s">
        <v>1943</v>
      </c>
      <c r="B66" s="238">
        <f>SUM(C66+D66)</f>
        <v>0</v>
      </c>
      <c r="C66" s="239"/>
      <c r="D66" s="239"/>
      <c r="E66" s="239">
        <f t="shared" si="24"/>
        <v>0</v>
      </c>
      <c r="F66" s="239"/>
      <c r="G66" s="239"/>
      <c r="H66" s="239"/>
      <c r="I66" s="239"/>
      <c r="J66" s="239"/>
      <c r="K66" s="239"/>
      <c r="L66" s="239"/>
      <c r="M66" s="239"/>
      <c r="N66" s="239"/>
      <c r="O66" s="239"/>
      <c r="P66" s="239"/>
      <c r="Q66" s="239"/>
      <c r="R66" s="239">
        <f>SUM(E66:Q66)</f>
        <v>0</v>
      </c>
      <c r="S66" s="239">
        <f t="shared" si="25"/>
        <v>0</v>
      </c>
      <c r="T66" s="239"/>
      <c r="U66" s="235"/>
    </row>
    <row r="67" spans="1:21" s="236" customFormat="1">
      <c r="A67" s="237" t="s">
        <v>1944</v>
      </c>
      <c r="B67" s="238">
        <f>SUM(C67+D67)</f>
        <v>0</v>
      </c>
      <c r="C67" s="239"/>
      <c r="D67" s="239"/>
      <c r="E67" s="239">
        <f t="shared" si="24"/>
        <v>0</v>
      </c>
      <c r="F67" s="239"/>
      <c r="G67" s="239"/>
      <c r="H67" s="239"/>
      <c r="I67" s="239"/>
      <c r="J67" s="239"/>
      <c r="K67" s="239"/>
      <c r="L67" s="239"/>
      <c r="M67" s="239"/>
      <c r="N67" s="239"/>
      <c r="O67" s="239"/>
      <c r="P67" s="239"/>
      <c r="Q67" s="239"/>
      <c r="R67" s="239">
        <f>SUM(E67:Q67)</f>
        <v>0</v>
      </c>
      <c r="S67" s="239">
        <f t="shared" si="25"/>
        <v>0</v>
      </c>
      <c r="T67" s="239"/>
      <c r="U67" s="235"/>
    </row>
    <row r="68" spans="1:21" s="236" customFormat="1">
      <c r="A68" s="244" t="s">
        <v>2473</v>
      </c>
      <c r="B68" s="238">
        <f>SUM(C68+D68)</f>
        <v>50000</v>
      </c>
      <c r="C68" s="239">
        <v>50000</v>
      </c>
      <c r="D68" s="239"/>
      <c r="E68" s="239">
        <f t="shared" si="24"/>
        <v>50000</v>
      </c>
      <c r="F68" s="239"/>
      <c r="G68" s="239"/>
      <c r="H68" s="239"/>
      <c r="I68" s="239"/>
      <c r="J68" s="239"/>
      <c r="K68" s="239"/>
      <c r="L68" s="239"/>
      <c r="M68" s="239"/>
      <c r="N68" s="239"/>
      <c r="O68" s="239"/>
      <c r="P68" s="239"/>
      <c r="Q68" s="239"/>
      <c r="R68" s="239">
        <f>SUM(E68:Q68)</f>
        <v>50000</v>
      </c>
      <c r="S68" s="239">
        <f t="shared" si="25"/>
        <v>50000</v>
      </c>
      <c r="T68" s="239"/>
      <c r="U68" s="235"/>
    </row>
    <row r="69" spans="1:21" s="236" customFormat="1">
      <c r="A69" s="241" t="s">
        <v>1945</v>
      </c>
      <c r="B69" s="238">
        <f>SUM(C69:D69)</f>
        <v>115000</v>
      </c>
      <c r="C69" s="238">
        <f>SUM(C63:C68)</f>
        <v>115000</v>
      </c>
      <c r="D69" s="238">
        <f>SUM(D63:D68)</f>
        <v>0</v>
      </c>
      <c r="E69" s="238">
        <f t="shared" ref="E69:T69" si="26">SUM(E64:E68)</f>
        <v>115000</v>
      </c>
      <c r="F69" s="238">
        <f t="shared" si="26"/>
        <v>0</v>
      </c>
      <c r="G69" s="238">
        <f t="shared" si="26"/>
        <v>0</v>
      </c>
      <c r="H69" s="238">
        <f t="shared" si="26"/>
        <v>0</v>
      </c>
      <c r="I69" s="238">
        <f t="shared" si="26"/>
        <v>0</v>
      </c>
      <c r="J69" s="238">
        <f t="shared" si="26"/>
        <v>0</v>
      </c>
      <c r="K69" s="238">
        <f t="shared" si="26"/>
        <v>0</v>
      </c>
      <c r="L69" s="238">
        <f t="shared" si="26"/>
        <v>0</v>
      </c>
      <c r="M69" s="238">
        <f t="shared" si="26"/>
        <v>0</v>
      </c>
      <c r="N69" s="238">
        <f t="shared" si="26"/>
        <v>0</v>
      </c>
      <c r="O69" s="238">
        <f t="shared" si="26"/>
        <v>0</v>
      </c>
      <c r="P69" s="238">
        <f t="shared" si="26"/>
        <v>0</v>
      </c>
      <c r="Q69" s="238">
        <f t="shared" si="26"/>
        <v>0</v>
      </c>
      <c r="R69" s="238">
        <f t="shared" si="26"/>
        <v>115000</v>
      </c>
      <c r="S69" s="242">
        <f t="shared" si="26"/>
        <v>115000</v>
      </c>
      <c r="T69" s="242">
        <f t="shared" si="26"/>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30000</v>
      </c>
      <c r="C71" s="239">
        <v>30000</v>
      </c>
      <c r="D71" s="239"/>
      <c r="E71" s="239">
        <f t="shared" ref="E71:E75" si="27">+C71-SUM(F71:J71)</f>
        <v>30000</v>
      </c>
      <c r="F71" s="239"/>
      <c r="G71" s="239"/>
      <c r="H71" s="239"/>
      <c r="I71" s="239"/>
      <c r="J71" s="239"/>
      <c r="K71" s="239"/>
      <c r="L71" s="239"/>
      <c r="M71" s="239"/>
      <c r="N71" s="239"/>
      <c r="O71" s="239"/>
      <c r="P71" s="239"/>
      <c r="Q71" s="239"/>
      <c r="R71" s="239">
        <f>SUM(E71:Q71)</f>
        <v>30000</v>
      </c>
      <c r="S71" s="240"/>
      <c r="T71" s="240"/>
      <c r="U71" s="235"/>
    </row>
    <row r="72" spans="1:21" s="236" customFormat="1">
      <c r="A72" s="237" t="s">
        <v>287</v>
      </c>
      <c r="B72" s="238">
        <f>SUM(C72+D72)</f>
        <v>0</v>
      </c>
      <c r="C72" s="239"/>
      <c r="D72" s="239"/>
      <c r="E72" s="239">
        <f t="shared" si="27"/>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f t="shared" si="27"/>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169784</v>
      </c>
      <c r="C74" s="239">
        <v>169784</v>
      </c>
      <c r="D74" s="239"/>
      <c r="E74" s="239">
        <f t="shared" si="27"/>
        <v>169784</v>
      </c>
      <c r="F74" s="239"/>
      <c r="G74" s="239"/>
      <c r="H74" s="239"/>
      <c r="I74" s="239"/>
      <c r="J74" s="239"/>
      <c r="K74" s="239"/>
      <c r="L74" s="239"/>
      <c r="M74" s="239"/>
      <c r="N74" s="239"/>
      <c r="O74" s="239"/>
      <c r="P74" s="239"/>
      <c r="Q74" s="239"/>
      <c r="R74" s="239">
        <f>SUM(E74:Q74)</f>
        <v>169784</v>
      </c>
      <c r="S74" s="240"/>
      <c r="T74" s="240"/>
      <c r="U74" s="235"/>
    </row>
    <row r="75" spans="1:21" s="236" customFormat="1">
      <c r="A75" s="244" t="s">
        <v>533</v>
      </c>
      <c r="B75" s="238">
        <f>SUM(C75+D75)</f>
        <v>0</v>
      </c>
      <c r="C75" s="239"/>
      <c r="D75" s="239"/>
      <c r="E75" s="239">
        <f t="shared" si="27"/>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199784</v>
      </c>
      <c r="C76" s="238">
        <f t="shared" ref="C76:Q76" si="28">SUM(C71:C75)</f>
        <v>199784</v>
      </c>
      <c r="D76" s="238">
        <f t="shared" si="28"/>
        <v>0</v>
      </c>
      <c r="E76" s="238">
        <f>SUM(E71:E75)</f>
        <v>199784</v>
      </c>
      <c r="F76" s="238">
        <f>SUM(F71:F75)</f>
        <v>0</v>
      </c>
      <c r="G76" s="238">
        <f>SUM(G71:G75)</f>
        <v>0</v>
      </c>
      <c r="H76" s="238">
        <f t="shared" si="28"/>
        <v>0</v>
      </c>
      <c r="I76" s="238">
        <f t="shared" si="28"/>
        <v>0</v>
      </c>
      <c r="J76" s="238">
        <f t="shared" si="28"/>
        <v>0</v>
      </c>
      <c r="K76" s="238">
        <f t="shared" si="28"/>
        <v>0</v>
      </c>
      <c r="L76" s="238">
        <f t="shared" si="28"/>
        <v>0</v>
      </c>
      <c r="M76" s="238">
        <f t="shared" si="28"/>
        <v>0</v>
      </c>
      <c r="N76" s="238">
        <f t="shared" si="28"/>
        <v>0</v>
      </c>
      <c r="O76" s="238">
        <f t="shared" si="28"/>
        <v>0</v>
      </c>
      <c r="P76" s="238">
        <f t="shared" si="28"/>
        <v>0</v>
      </c>
      <c r="Q76" s="238">
        <f t="shared" si="28"/>
        <v>0</v>
      </c>
      <c r="R76" s="238">
        <f>SUM(R71:R75)</f>
        <v>199784</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846517</v>
      </c>
      <c r="C78" s="239">
        <v>846517</v>
      </c>
      <c r="D78" s="239"/>
      <c r="E78" s="239">
        <f t="shared" ref="E78:E79" si="29">+C78-SUM(F78:J78)</f>
        <v>846517</v>
      </c>
      <c r="F78" s="239"/>
      <c r="G78" s="239"/>
      <c r="H78" s="239"/>
      <c r="I78" s="239"/>
      <c r="J78" s="239"/>
      <c r="K78" s="239"/>
      <c r="L78" s="239"/>
      <c r="M78" s="239"/>
      <c r="N78" s="239"/>
      <c r="O78" s="239"/>
      <c r="P78" s="239"/>
      <c r="Q78" s="239"/>
      <c r="R78" s="239">
        <f>SUM(E78:Q78)</f>
        <v>846517</v>
      </c>
      <c r="S78" s="239">
        <f t="shared" ref="S78:S79" si="30">+R78</f>
        <v>846517</v>
      </c>
      <c r="T78" s="239"/>
      <c r="U78" s="235"/>
    </row>
    <row r="79" spans="1:21" s="236" customFormat="1">
      <c r="A79" s="237" t="s">
        <v>538</v>
      </c>
      <c r="B79" s="238">
        <f>SUM(C79+D79)</f>
        <v>196956</v>
      </c>
      <c r="C79" s="239">
        <v>196956</v>
      </c>
      <c r="D79" s="239"/>
      <c r="E79" s="239">
        <f t="shared" si="29"/>
        <v>196956</v>
      </c>
      <c r="F79" s="239"/>
      <c r="G79" s="239"/>
      <c r="H79" s="239"/>
      <c r="I79" s="239"/>
      <c r="J79" s="239"/>
      <c r="K79" s="239"/>
      <c r="L79" s="239"/>
      <c r="M79" s="239"/>
      <c r="N79" s="239"/>
      <c r="O79" s="239"/>
      <c r="P79" s="239"/>
      <c r="Q79" s="239"/>
      <c r="R79" s="239">
        <f>SUM(E79:Q79)</f>
        <v>196956</v>
      </c>
      <c r="S79" s="239">
        <f t="shared" si="30"/>
        <v>196956</v>
      </c>
      <c r="T79" s="239"/>
      <c r="U79" s="235"/>
    </row>
    <row r="80" spans="1:21" s="236" customFormat="1">
      <c r="A80" s="241" t="s">
        <v>1734</v>
      </c>
      <c r="B80" s="238">
        <f>SUM(C80:D80)</f>
        <v>1043473</v>
      </c>
      <c r="C80" s="663">
        <f>SUM(C78:C79)</f>
        <v>1043473</v>
      </c>
      <c r="D80" s="663">
        <f t="shared" ref="D80:R80" si="31">SUM(D78:D79)</f>
        <v>0</v>
      </c>
      <c r="E80" s="663">
        <f t="shared" si="31"/>
        <v>1043473</v>
      </c>
      <c r="F80" s="663">
        <f t="shared" si="31"/>
        <v>0</v>
      </c>
      <c r="G80" s="663">
        <f t="shared" si="31"/>
        <v>0</v>
      </c>
      <c r="H80" s="663">
        <f t="shared" si="31"/>
        <v>0</v>
      </c>
      <c r="I80" s="663">
        <f t="shared" si="31"/>
        <v>0</v>
      </c>
      <c r="J80" s="663">
        <f t="shared" si="31"/>
        <v>0</v>
      </c>
      <c r="K80" s="663">
        <f t="shared" si="31"/>
        <v>0</v>
      </c>
      <c r="L80" s="663">
        <f t="shared" si="31"/>
        <v>0</v>
      </c>
      <c r="M80" s="663">
        <f t="shared" si="31"/>
        <v>0</v>
      </c>
      <c r="N80" s="663">
        <f t="shared" si="31"/>
        <v>0</v>
      </c>
      <c r="O80" s="663">
        <f t="shared" si="31"/>
        <v>0</v>
      </c>
      <c r="P80" s="663">
        <f t="shared" si="31"/>
        <v>0</v>
      </c>
      <c r="Q80" s="663">
        <f t="shared" si="31"/>
        <v>0</v>
      </c>
      <c r="R80" s="663">
        <f t="shared" si="31"/>
        <v>1043473</v>
      </c>
      <c r="S80" s="663">
        <f>SUM(S78:S79)</f>
        <v>1043473</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107468</v>
      </c>
      <c r="C82" s="239">
        <v>107468</v>
      </c>
      <c r="D82" s="239"/>
      <c r="E82" s="239">
        <f t="shared" ref="E82:E94" si="32">+C82-SUM(F82:J82)</f>
        <v>107468</v>
      </c>
      <c r="F82" s="239"/>
      <c r="G82" s="239"/>
      <c r="H82" s="239"/>
      <c r="I82" s="239"/>
      <c r="J82" s="239"/>
      <c r="K82" s="239"/>
      <c r="L82" s="239"/>
      <c r="M82" s="239"/>
      <c r="N82" s="239"/>
      <c r="O82" s="239"/>
      <c r="P82" s="239"/>
      <c r="Q82" s="239"/>
      <c r="R82" s="239">
        <f>SUM(E82:Q82)</f>
        <v>107468</v>
      </c>
      <c r="S82" s="240"/>
      <c r="T82" s="240"/>
      <c r="U82" s="235"/>
    </row>
    <row r="83" spans="1:21" s="236" customFormat="1">
      <c r="A83" s="237" t="s">
        <v>516</v>
      </c>
      <c r="B83" s="238">
        <f t="shared" ref="B83:B93" si="33">SUM(C83+D83)</f>
        <v>7000</v>
      </c>
      <c r="C83" s="239">
        <v>7000</v>
      </c>
      <c r="D83" s="239"/>
      <c r="E83" s="239">
        <f t="shared" si="32"/>
        <v>7000</v>
      </c>
      <c r="F83" s="239"/>
      <c r="G83" s="239"/>
      <c r="H83" s="239"/>
      <c r="I83" s="239"/>
      <c r="J83" s="239"/>
      <c r="K83" s="239"/>
      <c r="L83" s="239"/>
      <c r="M83" s="239"/>
      <c r="N83" s="239"/>
      <c r="O83" s="239"/>
      <c r="P83" s="239"/>
      <c r="Q83" s="239"/>
      <c r="R83" s="239">
        <f t="shared" ref="R83:R93" si="34">SUM(E83:Q83)</f>
        <v>7000</v>
      </c>
      <c r="S83" s="239">
        <f t="shared" ref="S83:S86" si="35">+R83</f>
        <v>7000</v>
      </c>
      <c r="T83" s="239"/>
      <c r="U83" s="235"/>
    </row>
    <row r="84" spans="1:21" s="236" customFormat="1">
      <c r="A84" s="237" t="s">
        <v>517</v>
      </c>
      <c r="B84" s="238">
        <f t="shared" si="33"/>
        <v>1504272</v>
      </c>
      <c r="C84" s="239">
        <v>1504272</v>
      </c>
      <c r="D84" s="239"/>
      <c r="E84" s="239">
        <f t="shared" si="32"/>
        <v>1504272</v>
      </c>
      <c r="F84" s="239"/>
      <c r="G84" s="239"/>
      <c r="H84" s="239"/>
      <c r="I84" s="239"/>
      <c r="J84" s="239"/>
      <c r="K84" s="239"/>
      <c r="L84" s="239"/>
      <c r="M84" s="239"/>
      <c r="N84" s="239"/>
      <c r="O84" s="239"/>
      <c r="P84" s="239"/>
      <c r="Q84" s="239"/>
      <c r="R84" s="239">
        <f t="shared" si="34"/>
        <v>1504272</v>
      </c>
      <c r="S84" s="239">
        <f t="shared" si="35"/>
        <v>1504272</v>
      </c>
      <c r="T84" s="239"/>
      <c r="U84" s="235"/>
    </row>
    <row r="85" spans="1:21" s="236" customFormat="1">
      <c r="A85" s="237" t="s">
        <v>518</v>
      </c>
      <c r="B85" s="238">
        <f t="shared" si="33"/>
        <v>800000</v>
      </c>
      <c r="C85" s="239">
        <v>800000</v>
      </c>
      <c r="D85" s="239"/>
      <c r="E85" s="239">
        <f t="shared" si="32"/>
        <v>800000</v>
      </c>
      <c r="F85" s="239"/>
      <c r="G85" s="239"/>
      <c r="H85" s="239"/>
      <c r="I85" s="239"/>
      <c r="J85" s="239"/>
      <c r="K85" s="239"/>
      <c r="L85" s="239"/>
      <c r="M85" s="239"/>
      <c r="N85" s="239"/>
      <c r="O85" s="239"/>
      <c r="P85" s="239"/>
      <c r="Q85" s="239"/>
      <c r="R85" s="239">
        <f t="shared" si="34"/>
        <v>800000</v>
      </c>
      <c r="S85" s="239">
        <f t="shared" si="35"/>
        <v>800000</v>
      </c>
      <c r="T85" s="239"/>
      <c r="U85" s="235"/>
    </row>
    <row r="86" spans="1:21" s="236" customFormat="1">
      <c r="A86" s="237" t="s">
        <v>519</v>
      </c>
      <c r="B86" s="238">
        <f t="shared" si="33"/>
        <v>0</v>
      </c>
      <c r="C86" s="239"/>
      <c r="D86" s="239"/>
      <c r="E86" s="239">
        <f t="shared" si="32"/>
        <v>0</v>
      </c>
      <c r="F86" s="239"/>
      <c r="G86" s="239"/>
      <c r="H86" s="239"/>
      <c r="I86" s="239"/>
      <c r="J86" s="239"/>
      <c r="K86" s="239"/>
      <c r="L86" s="239"/>
      <c r="M86" s="239"/>
      <c r="N86" s="239"/>
      <c r="O86" s="239"/>
      <c r="P86" s="239"/>
      <c r="Q86" s="239"/>
      <c r="R86" s="239">
        <f t="shared" si="34"/>
        <v>0</v>
      </c>
      <c r="S86" s="239">
        <f t="shared" si="35"/>
        <v>0</v>
      </c>
      <c r="T86" s="239"/>
      <c r="U86" s="235"/>
    </row>
    <row r="87" spans="1:21" s="236" customFormat="1">
      <c r="A87" s="237" t="s">
        <v>520</v>
      </c>
      <c r="B87" s="238">
        <f t="shared" si="33"/>
        <v>30750</v>
      </c>
      <c r="C87" s="239">
        <v>30750</v>
      </c>
      <c r="D87" s="239"/>
      <c r="E87" s="239">
        <f t="shared" si="32"/>
        <v>30750</v>
      </c>
      <c r="F87" s="239"/>
      <c r="G87" s="239"/>
      <c r="H87" s="239"/>
      <c r="I87" s="239"/>
      <c r="J87" s="239"/>
      <c r="K87" s="239"/>
      <c r="L87" s="239"/>
      <c r="M87" s="239"/>
      <c r="N87" s="239"/>
      <c r="O87" s="239"/>
      <c r="P87" s="239"/>
      <c r="Q87" s="239"/>
      <c r="R87" s="239">
        <f t="shared" si="34"/>
        <v>30750</v>
      </c>
      <c r="S87" s="240"/>
      <c r="T87" s="240"/>
      <c r="U87" s="235"/>
    </row>
    <row r="88" spans="1:21" s="236" customFormat="1">
      <c r="A88" s="237" t="s">
        <v>521</v>
      </c>
      <c r="B88" s="238">
        <f t="shared" si="33"/>
        <v>40000</v>
      </c>
      <c r="C88" s="239">
        <v>40000</v>
      </c>
      <c r="D88" s="239"/>
      <c r="E88" s="239">
        <f t="shared" si="32"/>
        <v>40000</v>
      </c>
      <c r="F88" s="239"/>
      <c r="G88" s="239"/>
      <c r="H88" s="239"/>
      <c r="I88" s="239"/>
      <c r="J88" s="239"/>
      <c r="K88" s="239"/>
      <c r="L88" s="239"/>
      <c r="M88" s="239"/>
      <c r="N88" s="239"/>
      <c r="O88" s="239"/>
      <c r="P88" s="239"/>
      <c r="Q88" s="239"/>
      <c r="R88" s="239">
        <f t="shared" si="34"/>
        <v>40000</v>
      </c>
      <c r="S88" s="239">
        <f t="shared" ref="S88:S94" si="36">+R88</f>
        <v>40000</v>
      </c>
      <c r="T88" s="239"/>
      <c r="U88" s="235"/>
    </row>
    <row r="89" spans="1:21" s="236" customFormat="1">
      <c r="A89" s="237" t="s">
        <v>522</v>
      </c>
      <c r="B89" s="238">
        <f t="shared" si="33"/>
        <v>10000</v>
      </c>
      <c r="C89" s="239">
        <v>10000</v>
      </c>
      <c r="D89" s="239"/>
      <c r="E89" s="239">
        <f t="shared" si="32"/>
        <v>10000</v>
      </c>
      <c r="F89" s="239"/>
      <c r="G89" s="239"/>
      <c r="H89" s="239"/>
      <c r="I89" s="239"/>
      <c r="J89" s="239"/>
      <c r="K89" s="239"/>
      <c r="L89" s="239"/>
      <c r="M89" s="239"/>
      <c r="N89" s="239"/>
      <c r="O89" s="239"/>
      <c r="P89" s="239"/>
      <c r="Q89" s="239"/>
      <c r="R89" s="239">
        <f t="shared" si="34"/>
        <v>10000</v>
      </c>
      <c r="S89" s="239">
        <f t="shared" si="36"/>
        <v>10000</v>
      </c>
      <c r="T89" s="239"/>
      <c r="U89" s="235"/>
    </row>
    <row r="90" spans="1:21" s="236" customFormat="1">
      <c r="A90" s="248" t="s">
        <v>1315</v>
      </c>
      <c r="B90" s="238">
        <f t="shared" si="33"/>
        <v>45000</v>
      </c>
      <c r="C90" s="239">
        <v>45000</v>
      </c>
      <c r="D90" s="239"/>
      <c r="E90" s="239">
        <f t="shared" si="32"/>
        <v>45000</v>
      </c>
      <c r="F90" s="239"/>
      <c r="G90" s="239"/>
      <c r="H90" s="239"/>
      <c r="I90" s="239"/>
      <c r="J90" s="239"/>
      <c r="K90" s="239"/>
      <c r="L90" s="239"/>
      <c r="M90" s="239"/>
      <c r="N90" s="239"/>
      <c r="O90" s="239"/>
      <c r="P90" s="239"/>
      <c r="Q90" s="239"/>
      <c r="R90" s="239">
        <f t="shared" si="34"/>
        <v>45000</v>
      </c>
      <c r="S90" s="239">
        <f t="shared" si="36"/>
        <v>45000</v>
      </c>
      <c r="T90" s="239"/>
      <c r="U90" s="235"/>
    </row>
    <row r="91" spans="1:21" s="236" customFormat="1">
      <c r="A91" s="248" t="s">
        <v>1732</v>
      </c>
      <c r="B91" s="238">
        <f t="shared" si="33"/>
        <v>7500</v>
      </c>
      <c r="C91" s="239">
        <v>7500</v>
      </c>
      <c r="D91" s="239"/>
      <c r="E91" s="239">
        <f t="shared" si="32"/>
        <v>7500</v>
      </c>
      <c r="F91" s="239"/>
      <c r="G91" s="239"/>
      <c r="H91" s="239"/>
      <c r="I91" s="239"/>
      <c r="J91" s="239"/>
      <c r="K91" s="239"/>
      <c r="L91" s="239"/>
      <c r="M91" s="239"/>
      <c r="N91" s="239"/>
      <c r="O91" s="239"/>
      <c r="P91" s="239"/>
      <c r="Q91" s="239"/>
      <c r="R91" s="239">
        <f t="shared" si="34"/>
        <v>7500</v>
      </c>
      <c r="S91" s="239">
        <f t="shared" si="36"/>
        <v>7500</v>
      </c>
      <c r="T91" s="239"/>
      <c r="U91" s="235"/>
    </row>
    <row r="92" spans="1:21" s="236" customFormat="1">
      <c r="A92" s="244" t="s">
        <v>533</v>
      </c>
      <c r="B92" s="238">
        <f t="shared" si="33"/>
        <v>0</v>
      </c>
      <c r="C92" s="239"/>
      <c r="D92" s="239"/>
      <c r="E92" s="239">
        <f t="shared" si="32"/>
        <v>0</v>
      </c>
      <c r="F92" s="239"/>
      <c r="G92" s="239"/>
      <c r="H92" s="239"/>
      <c r="I92" s="239"/>
      <c r="J92" s="239"/>
      <c r="K92" s="239"/>
      <c r="L92" s="239"/>
      <c r="M92" s="239"/>
      <c r="N92" s="239"/>
      <c r="O92" s="239"/>
      <c r="P92" s="239"/>
      <c r="Q92" s="239"/>
      <c r="R92" s="239">
        <f t="shared" si="34"/>
        <v>0</v>
      </c>
      <c r="S92" s="239">
        <f t="shared" si="36"/>
        <v>0</v>
      </c>
      <c r="T92" s="239"/>
      <c r="U92" s="235"/>
    </row>
    <row r="93" spans="1:21" s="236" customFormat="1">
      <c r="A93" s="244" t="s">
        <v>533</v>
      </c>
      <c r="B93" s="238">
        <f t="shared" si="33"/>
        <v>0</v>
      </c>
      <c r="C93" s="239"/>
      <c r="D93" s="239"/>
      <c r="E93" s="239">
        <f t="shared" si="32"/>
        <v>0</v>
      </c>
      <c r="F93" s="239"/>
      <c r="G93" s="239"/>
      <c r="H93" s="239"/>
      <c r="I93" s="239"/>
      <c r="J93" s="239"/>
      <c r="K93" s="239"/>
      <c r="L93" s="239"/>
      <c r="M93" s="239"/>
      <c r="N93" s="239"/>
      <c r="O93" s="239"/>
      <c r="P93" s="239"/>
      <c r="Q93" s="239"/>
      <c r="R93" s="239">
        <f t="shared" si="34"/>
        <v>0</v>
      </c>
      <c r="S93" s="239">
        <f t="shared" si="36"/>
        <v>0</v>
      </c>
      <c r="T93" s="239"/>
      <c r="U93" s="235"/>
    </row>
    <row r="94" spans="1:21" s="236" customFormat="1">
      <c r="A94" s="244" t="s">
        <v>533</v>
      </c>
      <c r="B94" s="238">
        <f>SUM(C94+D94)</f>
        <v>0</v>
      </c>
      <c r="C94" s="239"/>
      <c r="D94" s="239"/>
      <c r="E94" s="239">
        <f t="shared" si="32"/>
        <v>0</v>
      </c>
      <c r="F94" s="239"/>
      <c r="G94" s="239"/>
      <c r="H94" s="239"/>
      <c r="I94" s="239"/>
      <c r="J94" s="239"/>
      <c r="K94" s="239"/>
      <c r="L94" s="239"/>
      <c r="M94" s="239"/>
      <c r="N94" s="239"/>
      <c r="O94" s="239"/>
      <c r="P94" s="239"/>
      <c r="Q94" s="239"/>
      <c r="R94" s="239">
        <f>SUM(E94:Q94)</f>
        <v>0</v>
      </c>
      <c r="S94" s="239">
        <f t="shared" si="36"/>
        <v>0</v>
      </c>
      <c r="T94" s="239"/>
      <c r="U94" s="235"/>
    </row>
    <row r="95" spans="1:21" s="236" customFormat="1">
      <c r="A95" s="241" t="s">
        <v>523</v>
      </c>
      <c r="B95" s="238">
        <f>SUM(C95:D95)</f>
        <v>2551990</v>
      </c>
      <c r="C95" s="238">
        <f t="shared" ref="C95:R95" si="37">SUM(C82:C94)</f>
        <v>2551990</v>
      </c>
      <c r="D95" s="238">
        <f t="shared" si="37"/>
        <v>0</v>
      </c>
      <c r="E95" s="238">
        <f t="shared" si="37"/>
        <v>2551990</v>
      </c>
      <c r="F95" s="238">
        <f t="shared" si="37"/>
        <v>0</v>
      </c>
      <c r="G95" s="238">
        <f t="shared" si="37"/>
        <v>0</v>
      </c>
      <c r="H95" s="238">
        <f t="shared" si="37"/>
        <v>0</v>
      </c>
      <c r="I95" s="238">
        <f t="shared" si="37"/>
        <v>0</v>
      </c>
      <c r="J95" s="238">
        <f t="shared" si="37"/>
        <v>0</v>
      </c>
      <c r="K95" s="238">
        <f t="shared" si="37"/>
        <v>0</v>
      </c>
      <c r="L95" s="238">
        <f t="shared" si="37"/>
        <v>0</v>
      </c>
      <c r="M95" s="238">
        <f t="shared" si="37"/>
        <v>0</v>
      </c>
      <c r="N95" s="238">
        <f t="shared" si="37"/>
        <v>0</v>
      </c>
      <c r="O95" s="238">
        <f t="shared" si="37"/>
        <v>0</v>
      </c>
      <c r="P95" s="238">
        <f t="shared" si="37"/>
        <v>0</v>
      </c>
      <c r="Q95" s="238">
        <f t="shared" si="37"/>
        <v>0</v>
      </c>
      <c r="R95" s="238">
        <f t="shared" si="37"/>
        <v>2551990</v>
      </c>
      <c r="S95" s="242">
        <f>SUM(S83:S86,S88:S94)</f>
        <v>2413772</v>
      </c>
      <c r="T95" s="238">
        <f>SUM(T83:T86,T88:T94)</f>
        <v>0</v>
      </c>
      <c r="U95" s="235"/>
    </row>
    <row r="96" spans="1:21" s="236" customFormat="1">
      <c r="A96" s="241" t="s">
        <v>524</v>
      </c>
      <c r="B96" s="238">
        <f>SUM(C96:D96)</f>
        <v>27813987</v>
      </c>
      <c r="C96" s="238">
        <f t="shared" ref="C96:R96" si="38">SUM(C62+C69+C76+C80+C95)</f>
        <v>27813987</v>
      </c>
      <c r="D96" s="238">
        <f t="shared" si="38"/>
        <v>0</v>
      </c>
      <c r="E96" s="238">
        <f t="shared" si="38"/>
        <v>19155548</v>
      </c>
      <c r="F96" s="238">
        <f t="shared" si="38"/>
        <v>5016170</v>
      </c>
      <c r="G96" s="238">
        <f t="shared" si="38"/>
        <v>0</v>
      </c>
      <c r="H96" s="238">
        <f t="shared" si="38"/>
        <v>230869</v>
      </c>
      <c r="I96" s="238">
        <f t="shared" si="38"/>
        <v>750000</v>
      </c>
      <c r="J96" s="238">
        <f t="shared" si="38"/>
        <v>2661400</v>
      </c>
      <c r="K96" s="238">
        <f t="shared" si="38"/>
        <v>0</v>
      </c>
      <c r="L96" s="238">
        <f t="shared" si="38"/>
        <v>0</v>
      </c>
      <c r="M96" s="238">
        <f t="shared" si="38"/>
        <v>0</v>
      </c>
      <c r="N96" s="238">
        <f t="shared" si="38"/>
        <v>0</v>
      </c>
      <c r="O96" s="238">
        <f t="shared" si="38"/>
        <v>0</v>
      </c>
      <c r="P96" s="238">
        <f t="shared" si="38"/>
        <v>0</v>
      </c>
      <c r="Q96" s="238">
        <f t="shared" si="38"/>
        <v>0</v>
      </c>
      <c r="R96" s="238">
        <f t="shared" si="38"/>
        <v>27813987</v>
      </c>
      <c r="S96" s="242">
        <f>SUM(+S62+S69+S80+S95)</f>
        <v>23260985</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f t="shared" ref="E98" si="39">+C98-SUM(F98:J98)</f>
        <v>1855607</v>
      </c>
      <c r="F98" s="239"/>
      <c r="G98" s="239">
        <f>+Application!AO630</f>
        <v>644393</v>
      </c>
      <c r="H98" s="239"/>
      <c r="I98" s="239"/>
      <c r="J98" s="239"/>
      <c r="K98" s="239"/>
      <c r="L98" s="239"/>
      <c r="M98" s="239"/>
      <c r="N98" s="239"/>
      <c r="O98" s="239"/>
      <c r="P98" s="239"/>
      <c r="Q98" s="239"/>
      <c r="R98" s="239">
        <f>SUM(E98:Q98)</f>
        <v>2500000</v>
      </c>
      <c r="S98" s="239">
        <f>+R98</f>
        <v>2500000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40">SUM(C98:C102)</f>
        <v>2500000</v>
      </c>
      <c r="D103" s="238">
        <f t="shared" si="40"/>
        <v>0</v>
      </c>
      <c r="E103" s="238">
        <f t="shared" si="40"/>
        <v>1855607</v>
      </c>
      <c r="F103" s="238">
        <f t="shared" si="40"/>
        <v>0</v>
      </c>
      <c r="G103" s="238">
        <f t="shared" si="40"/>
        <v>644393</v>
      </c>
      <c r="H103" s="238">
        <f t="shared" si="40"/>
        <v>0</v>
      </c>
      <c r="I103" s="238">
        <f t="shared" si="40"/>
        <v>0</v>
      </c>
      <c r="J103" s="238">
        <f t="shared" si="40"/>
        <v>0</v>
      </c>
      <c r="K103" s="238">
        <f t="shared" si="40"/>
        <v>0</v>
      </c>
      <c r="L103" s="238">
        <f t="shared" si="40"/>
        <v>0</v>
      </c>
      <c r="M103" s="238">
        <f t="shared" si="40"/>
        <v>0</v>
      </c>
      <c r="N103" s="238">
        <f t="shared" si="40"/>
        <v>0</v>
      </c>
      <c r="O103" s="238">
        <f t="shared" si="40"/>
        <v>0</v>
      </c>
      <c r="P103" s="238">
        <f t="shared" si="40"/>
        <v>0</v>
      </c>
      <c r="Q103" s="238">
        <f t="shared" si="40"/>
        <v>0</v>
      </c>
      <c r="R103" s="238">
        <f t="shared" si="40"/>
        <v>2500000</v>
      </c>
      <c r="S103" s="242">
        <f t="shared" si="40"/>
        <v>2500000</v>
      </c>
      <c r="T103" s="242">
        <f t="shared" si="40"/>
        <v>0</v>
      </c>
      <c r="U103" s="235"/>
    </row>
    <row r="104" spans="1:21" s="236" customFormat="1">
      <c r="A104" s="241" t="s">
        <v>1156</v>
      </c>
      <c r="B104" s="242">
        <f>SUM(C104:D104)</f>
        <v>30313987</v>
      </c>
      <c r="C104" s="242">
        <f t="shared" ref="C104:R104" si="41">SUM(C96+C103)</f>
        <v>30313987</v>
      </c>
      <c r="D104" s="242">
        <f t="shared" si="41"/>
        <v>0</v>
      </c>
      <c r="E104" s="242">
        <f t="shared" si="41"/>
        <v>21011155</v>
      </c>
      <c r="F104" s="242">
        <f t="shared" si="41"/>
        <v>5016170</v>
      </c>
      <c r="G104" s="242">
        <f t="shared" si="41"/>
        <v>644393</v>
      </c>
      <c r="H104" s="242">
        <f t="shared" si="41"/>
        <v>230869</v>
      </c>
      <c r="I104" s="242">
        <f t="shared" si="41"/>
        <v>750000</v>
      </c>
      <c r="J104" s="242">
        <f t="shared" si="41"/>
        <v>2661400</v>
      </c>
      <c r="K104" s="242">
        <f t="shared" si="41"/>
        <v>0</v>
      </c>
      <c r="L104" s="242">
        <f t="shared" si="41"/>
        <v>0</v>
      </c>
      <c r="M104" s="242">
        <f t="shared" si="41"/>
        <v>0</v>
      </c>
      <c r="N104" s="242">
        <f t="shared" si="41"/>
        <v>0</v>
      </c>
      <c r="O104" s="242">
        <f t="shared" si="41"/>
        <v>0</v>
      </c>
      <c r="P104" s="242">
        <f t="shared" si="41"/>
        <v>0</v>
      </c>
      <c r="Q104" s="242">
        <f t="shared" si="41"/>
        <v>0</v>
      </c>
      <c r="R104" s="238">
        <f t="shared" si="41"/>
        <v>30313987</v>
      </c>
      <c r="S104" s="242">
        <f>S96+S103</f>
        <v>25760985</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25760985</v>
      </c>
      <c r="T106" s="242">
        <f>T104+T105</f>
        <v>0</v>
      </c>
      <c r="U106" s="254"/>
    </row>
    <row r="107" spans="1:21" s="256" customFormat="1">
      <c r="A107" s="255" t="s">
        <v>1107</v>
      </c>
      <c r="B107" s="250"/>
      <c r="C107" s="250"/>
      <c r="D107" s="250"/>
      <c r="E107" s="238">
        <f>Application!AO642</f>
        <v>21011155</v>
      </c>
      <c r="F107" s="238">
        <f>Application!AO629</f>
        <v>5016170</v>
      </c>
      <c r="G107" s="238">
        <f>Application!AO630</f>
        <v>644393</v>
      </c>
      <c r="H107" s="238">
        <f>Application!AO631</f>
        <v>230869</v>
      </c>
      <c r="I107" s="238">
        <f>Application!AO632</f>
        <v>750000</v>
      </c>
      <c r="J107" s="238">
        <f>Application!AO633</f>
        <v>2661400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635" t="s">
        <v>1291</v>
      </c>
      <c r="E122" s="1635"/>
      <c r="F122" s="1635"/>
      <c r="U122" s="254"/>
    </row>
    <row r="123" spans="1:21" s="251" customFormat="1">
      <c r="A123" s="251" t="s">
        <v>1292</v>
      </c>
      <c r="B123" s="543"/>
      <c r="D123" s="1628" t="s">
        <v>1316</v>
      </c>
      <c r="E123" s="1623"/>
      <c r="F123" s="1623"/>
      <c r="G123" s="1623"/>
      <c r="H123" s="1623"/>
      <c r="I123" s="1623"/>
      <c r="J123" s="1623"/>
      <c r="K123" s="1623"/>
      <c r="L123" s="1623"/>
      <c r="M123" s="1623"/>
      <c r="N123" s="1623"/>
      <c r="O123" s="1623"/>
      <c r="P123" s="1623"/>
      <c r="Q123" s="1623"/>
      <c r="R123" s="1623"/>
      <c r="S123" s="1623"/>
      <c r="U123" s="254"/>
    </row>
    <row r="124" spans="1:21" s="251" customFormat="1" ht="12.75">
      <c r="A124" s="207" t="s">
        <v>1293</v>
      </c>
      <c r="B124" s="543"/>
      <c r="C124" s="207"/>
      <c r="D124" s="1623"/>
      <c r="E124" s="1623"/>
      <c r="F124" s="1623"/>
      <c r="G124" s="1623"/>
      <c r="H124" s="1623"/>
      <c r="I124" s="1623"/>
      <c r="J124" s="1623"/>
      <c r="K124" s="1623"/>
      <c r="L124" s="1623"/>
      <c r="M124" s="1623"/>
      <c r="N124" s="1623"/>
      <c r="O124" s="1623"/>
      <c r="P124" s="1623"/>
      <c r="Q124" s="1623"/>
      <c r="R124" s="1623"/>
      <c r="S124" s="1623"/>
      <c r="U124" s="254"/>
    </row>
    <row r="125" spans="1:21" s="251" customFormat="1" ht="12.75">
      <c r="A125" s="207" t="s">
        <v>1294</v>
      </c>
      <c r="B125" s="543"/>
      <c r="C125" s="207"/>
      <c r="D125" s="1623"/>
      <c r="E125" s="1623"/>
      <c r="F125" s="1623"/>
      <c r="G125" s="1623"/>
      <c r="H125" s="1623"/>
      <c r="I125" s="1623"/>
      <c r="J125" s="1623"/>
      <c r="K125" s="1623"/>
      <c r="L125" s="1623"/>
      <c r="M125" s="1623"/>
      <c r="N125" s="1623"/>
      <c r="O125" s="1623"/>
      <c r="P125" s="1623"/>
      <c r="Q125" s="1623"/>
      <c r="R125" s="1623"/>
      <c r="S125" s="1623"/>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630"/>
      <c r="E128" s="1630"/>
      <c r="F128" s="1630"/>
      <c r="G128" s="1630"/>
      <c r="H128" s="1630"/>
      <c r="I128" s="207"/>
      <c r="J128" s="1627"/>
      <c r="K128" s="1627"/>
      <c r="L128" s="207"/>
      <c r="M128" s="207"/>
      <c r="N128" s="207"/>
      <c r="O128" s="207"/>
      <c r="P128" s="207"/>
      <c r="Q128" s="207"/>
      <c r="R128" s="207"/>
      <c r="S128" s="207"/>
      <c r="U128" s="254"/>
    </row>
    <row r="129" spans="1:21" s="251" customFormat="1" ht="12.75">
      <c r="A129" s="207" t="s">
        <v>499</v>
      </c>
      <c r="B129" s="543"/>
      <c r="C129" s="207"/>
      <c r="D129" s="1634" t="s">
        <v>1298</v>
      </c>
      <c r="E129" s="1634"/>
      <c r="F129" s="1634"/>
      <c r="G129" s="1634"/>
      <c r="H129" s="1634"/>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612"/>
      <c r="E131" s="1612"/>
      <c r="F131" s="1612"/>
      <c r="G131" s="1612"/>
      <c r="H131" s="1612"/>
      <c r="I131" s="207"/>
      <c r="J131" s="1612"/>
      <c r="K131" s="1612"/>
      <c r="L131" s="1612"/>
      <c r="M131" s="1612"/>
      <c r="N131" s="207"/>
      <c r="O131" s="207"/>
      <c r="P131" s="207"/>
      <c r="Q131" s="207"/>
      <c r="R131" s="207"/>
      <c r="S131" s="207"/>
      <c r="U131" s="254"/>
    </row>
    <row r="132" spans="1:21" s="251" customFormat="1" ht="12.75">
      <c r="A132" s="545"/>
      <c r="B132" s="207"/>
      <c r="C132" s="207"/>
      <c r="D132" s="1625" t="s">
        <v>1301</v>
      </c>
      <c r="E132" s="1625"/>
      <c r="F132" s="1625"/>
      <c r="G132" s="1625"/>
      <c r="H132" s="1625"/>
      <c r="I132" s="207"/>
      <c r="J132" s="1625" t="s">
        <v>1302</v>
      </c>
      <c r="K132" s="1625"/>
      <c r="L132" s="1625"/>
      <c r="M132" s="1625"/>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29"/>
      <c r="B138" s="1630"/>
      <c r="C138" s="1630"/>
      <c r="D138" s="349"/>
      <c r="E138" s="1627"/>
      <c r="F138" s="1627"/>
      <c r="G138" s="207"/>
      <c r="H138" s="207"/>
      <c r="I138" s="207"/>
      <c r="J138" s="207"/>
      <c r="K138" s="207"/>
      <c r="L138" s="207"/>
      <c r="M138" s="207"/>
      <c r="N138" s="207"/>
      <c r="O138" s="207"/>
      <c r="P138" s="207"/>
      <c r="Q138" s="207"/>
      <c r="R138" s="207"/>
      <c r="S138" s="207"/>
    </row>
    <row r="139" spans="1:21" ht="12" customHeight="1">
      <c r="A139" s="1626" t="s">
        <v>1304</v>
      </c>
      <c r="B139" s="1626"/>
      <c r="C139" s="1626"/>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0"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69" t="s">
        <v>1738</v>
      </c>
      <c r="B1" s="1670"/>
      <c r="C1" s="1670"/>
      <c r="D1" s="1670"/>
      <c r="E1" s="1670"/>
      <c r="F1" s="1670"/>
      <c r="G1" s="1670"/>
      <c r="H1" s="1670"/>
      <c r="I1" s="1670"/>
      <c r="J1" s="1670"/>
      <c r="K1" s="1670"/>
      <c r="L1" s="1670"/>
      <c r="M1" s="1670"/>
      <c r="N1" s="1670"/>
      <c r="O1" s="1670"/>
      <c r="P1" s="1670"/>
      <c r="Q1" s="1670"/>
      <c r="R1" s="1670"/>
      <c r="S1" s="1670"/>
      <c r="T1" s="1670"/>
      <c r="U1" s="1670"/>
      <c r="V1" s="1670"/>
      <c r="W1" s="1670"/>
      <c r="X1" s="1670"/>
      <c r="Y1" s="1670"/>
      <c r="Z1" s="1670"/>
      <c r="AA1" s="1670"/>
      <c r="AB1" s="1670"/>
      <c r="AC1" s="1670"/>
      <c r="AD1" s="1670"/>
      <c r="AE1" s="1670"/>
      <c r="AF1" s="1670"/>
      <c r="AG1" s="1670"/>
      <c r="AH1" s="1670"/>
      <c r="AI1" s="1670"/>
      <c r="AJ1" s="1670"/>
      <c r="AK1" s="1670"/>
      <c r="AL1" s="1670"/>
      <c r="AM1" s="1670"/>
      <c r="AN1" s="1670"/>
    </row>
    <row r="2" spans="1:40" ht="12.95" customHeight="1" thickBot="1">
      <c r="A2" s="1671"/>
      <c r="B2" s="1671"/>
      <c r="C2" s="1671"/>
      <c r="D2" s="1671"/>
      <c r="E2" s="1671"/>
      <c r="F2" s="1671"/>
      <c r="G2" s="1671"/>
      <c r="H2" s="1671"/>
      <c r="I2" s="1671"/>
      <c r="J2" s="1671"/>
      <c r="K2" s="1671"/>
      <c r="L2" s="1671"/>
      <c r="M2" s="1671"/>
      <c r="N2" s="1671"/>
      <c r="O2" s="1671"/>
      <c r="P2" s="1671"/>
      <c r="Q2" s="1671"/>
      <c r="R2" s="1671"/>
      <c r="S2" s="1671"/>
      <c r="T2" s="1671"/>
      <c r="U2" s="1671"/>
      <c r="V2" s="1671"/>
      <c r="W2" s="1671"/>
      <c r="X2" s="1671"/>
      <c r="Y2" s="1671"/>
      <c r="Z2" s="1671"/>
      <c r="AA2" s="1671"/>
      <c r="AB2" s="1671"/>
      <c r="AC2" s="1671"/>
      <c r="AD2" s="1671"/>
      <c r="AE2" s="1671"/>
      <c r="AF2" s="1671"/>
      <c r="AG2" s="1671"/>
      <c r="AH2" s="1671"/>
      <c r="AI2" s="1671"/>
      <c r="AJ2" s="1671"/>
      <c r="AK2" s="1671"/>
      <c r="AL2" s="1671"/>
      <c r="AM2" s="1671"/>
      <c r="AN2" s="1671"/>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55" t="str">
        <f>IF(T25=100%,'Sources and Basis Breakdown'!G2,'Sources and Basis Breakdown'!F2)</f>
        <v>70% PVC for New Const/
Rehabilitation
DDA/QCT
Building(s)</v>
      </c>
      <c r="U7" s="1655"/>
      <c r="V7" s="1655"/>
      <c r="W7" s="1655"/>
      <c r="X7" s="1655"/>
      <c r="Y7" s="1655" t="str">
        <f>IF(T25=100%,"",'Sources and Basis Breakdown'!G2)</f>
        <v>70% PVC for New Const/
Rehabilitation
NON-DDA/
NON-QCT Building(s)</v>
      </c>
      <c r="Z7" s="1655"/>
      <c r="AA7" s="1655"/>
      <c r="AB7" s="1655"/>
      <c r="AC7" s="1655"/>
      <c r="AD7" s="1655" t="str">
        <f>IF(T25=100%,'Sources and Basis Breakdown'!J2,'Sources and Basis Breakdown'!I2)</f>
        <v>30% PVC for Acquisition
DDA/QCT Building(s)</v>
      </c>
      <c r="AE7" s="1655"/>
      <c r="AF7" s="1655"/>
      <c r="AG7" s="1655"/>
      <c r="AH7" s="1655"/>
      <c r="AI7" s="1655" t="str">
        <f>IF(T25=100%,"",'Sources and Basis Breakdown'!J2)</f>
        <v>30% PVC for Acquisition
NON-DDA/
NON-QCT Building(s)</v>
      </c>
      <c r="AJ7" s="1655"/>
      <c r="AK7" s="1655"/>
      <c r="AL7" s="1655"/>
      <c r="AM7" s="1655"/>
    </row>
    <row r="8" spans="1:40" ht="12.95" customHeight="1">
      <c r="B8" s="202"/>
      <c r="T8" s="1655"/>
      <c r="U8" s="1655"/>
      <c r="V8" s="1655"/>
      <c r="W8" s="1655"/>
      <c r="X8" s="1655"/>
      <c r="Y8" s="1655"/>
      <c r="Z8" s="1655"/>
      <c r="AA8" s="1655"/>
      <c r="AB8" s="1655"/>
      <c r="AC8" s="1655"/>
      <c r="AD8" s="1655"/>
      <c r="AE8" s="1655"/>
      <c r="AF8" s="1655"/>
      <c r="AG8" s="1655"/>
      <c r="AH8" s="1655"/>
      <c r="AI8" s="1655"/>
      <c r="AJ8" s="1655"/>
      <c r="AK8" s="1655"/>
      <c r="AL8" s="1655"/>
      <c r="AM8" s="1655"/>
    </row>
    <row r="9" spans="1:40" ht="12.95" customHeight="1">
      <c r="B9" s="202"/>
      <c r="T9" s="1655"/>
      <c r="U9" s="1655"/>
      <c r="V9" s="1655"/>
      <c r="W9" s="1655"/>
      <c r="X9" s="1655"/>
      <c r="Y9" s="1655"/>
      <c r="Z9" s="1655"/>
      <c r="AA9" s="1655"/>
      <c r="AB9" s="1655"/>
      <c r="AC9" s="1655"/>
      <c r="AD9" s="1655"/>
      <c r="AE9" s="1655"/>
      <c r="AF9" s="1655"/>
      <c r="AG9" s="1655"/>
      <c r="AH9" s="1655"/>
      <c r="AI9" s="1655"/>
      <c r="AJ9" s="1655"/>
      <c r="AK9" s="1655"/>
      <c r="AL9" s="1655"/>
      <c r="AM9" s="1655"/>
    </row>
    <row r="10" spans="1:40" ht="12.95" customHeight="1">
      <c r="B10" s="53"/>
      <c r="C10" s="54"/>
      <c r="D10" s="54"/>
      <c r="E10" s="54"/>
      <c r="F10" s="54"/>
      <c r="G10" s="54"/>
      <c r="H10" s="54"/>
      <c r="I10" s="54"/>
      <c r="J10" s="54"/>
      <c r="K10" s="54"/>
      <c r="L10" s="54"/>
      <c r="M10" s="54"/>
      <c r="N10" s="54"/>
      <c r="O10" s="54"/>
      <c r="P10" s="54"/>
      <c r="Q10" s="54"/>
      <c r="R10" s="54"/>
      <c r="S10" s="54"/>
      <c r="T10" s="1655"/>
      <c r="U10" s="1655"/>
      <c r="V10" s="1655"/>
      <c r="W10" s="1655"/>
      <c r="X10" s="1655"/>
      <c r="Y10" s="1655"/>
      <c r="Z10" s="1655"/>
      <c r="AA10" s="1655"/>
      <c r="AB10" s="1655"/>
      <c r="AC10" s="1655"/>
      <c r="AD10" s="1655"/>
      <c r="AE10" s="1655"/>
      <c r="AF10" s="1655"/>
      <c r="AG10" s="1655"/>
      <c r="AH10" s="1655"/>
      <c r="AI10" s="1655"/>
      <c r="AJ10" s="1655"/>
      <c r="AK10" s="1655"/>
      <c r="AL10" s="1655"/>
      <c r="AM10" s="1655"/>
    </row>
    <row r="11" spans="1:40" ht="12.95" customHeight="1">
      <c r="B11" s="1225" t="s">
        <v>508</v>
      </c>
      <c r="C11" s="1226"/>
      <c r="D11" s="1226"/>
      <c r="E11" s="1226"/>
      <c r="F11" s="1226"/>
      <c r="G11" s="1226"/>
      <c r="H11" s="1226"/>
      <c r="I11" s="1226"/>
      <c r="J11" s="1226"/>
      <c r="K11" s="1226"/>
      <c r="L11" s="1226"/>
      <c r="M11" s="1226"/>
      <c r="N11" s="1226"/>
      <c r="O11" s="1226"/>
      <c r="P11" s="1226"/>
      <c r="Q11" s="1226"/>
      <c r="R11" s="1226"/>
      <c r="S11" s="1227"/>
      <c r="T11" s="1663">
        <f>IF('Sources and Basis Breakdown'!F105=0,'Sources and Basis Breakdown'!E105,'Sources and Basis Breakdown'!F105)</f>
        <v>25760985</v>
      </c>
      <c r="U11" s="1656"/>
      <c r="V11" s="1656"/>
      <c r="W11" s="1656"/>
      <c r="X11" s="1656"/>
      <c r="Y11" s="1672">
        <f>IF(Y7="",0,IF('Sources and Basis Breakdown'!G105+'Sources and Basis Breakdown'!F105='Sources and Basis Breakdown'!E105,'Sources and Basis Breakdown'!G105,0))</f>
        <v>0</v>
      </c>
      <c r="Z11" s="1656"/>
      <c r="AA11" s="1656"/>
      <c r="AB11" s="1656"/>
      <c r="AC11" s="1656"/>
      <c r="AD11" s="1656">
        <f>IF('Sources and Basis Breakdown'!I105=0,'Sources and Basis Breakdown'!H105,'Sources and Basis Breakdown'!I105)</f>
        <v>0</v>
      </c>
      <c r="AE11" s="1656"/>
      <c r="AF11" s="1656"/>
      <c r="AG11" s="1656"/>
      <c r="AH11" s="1656"/>
      <c r="AI11" s="1656">
        <f>IF(AI7="",0,IF('Sources and Basis Breakdown'!I105+'Sources and Basis Breakdown'!J105='Sources and Basis Breakdown'!H105,'Sources and Basis Breakdown'!J105,0))</f>
        <v>0</v>
      </c>
      <c r="AJ11" s="1656"/>
      <c r="AK11" s="1656"/>
      <c r="AL11" s="1656"/>
      <c r="AM11" s="1656"/>
    </row>
    <row r="12" spans="1:40" ht="12.95" customHeight="1">
      <c r="B12" s="1657" t="s">
        <v>447</v>
      </c>
      <c r="C12" s="1038"/>
      <c r="D12" s="1038"/>
      <c r="E12" s="1038"/>
      <c r="F12" s="1038"/>
      <c r="G12" s="1038"/>
      <c r="H12" s="1038"/>
      <c r="I12" s="1038"/>
      <c r="J12" s="1038"/>
      <c r="K12" s="1038"/>
      <c r="L12" s="1038"/>
      <c r="M12" s="1038"/>
      <c r="N12" s="1038"/>
      <c r="O12" s="1038"/>
      <c r="P12" s="1038"/>
      <c r="Q12" s="1038"/>
      <c r="R12" s="1038"/>
      <c r="S12" s="1658"/>
      <c r="T12" s="1666"/>
      <c r="U12" s="1667"/>
      <c r="V12" s="1667"/>
      <c r="W12" s="1667"/>
      <c r="X12" s="1668"/>
      <c r="Y12" s="1666"/>
      <c r="Z12" s="1667"/>
      <c r="AA12" s="1667"/>
      <c r="AB12" s="1667"/>
      <c r="AC12" s="1668"/>
      <c r="AD12" s="1666"/>
      <c r="AE12" s="1667"/>
      <c r="AF12" s="1667"/>
      <c r="AG12" s="1667"/>
      <c r="AH12" s="1668"/>
      <c r="AI12" s="1666"/>
      <c r="AJ12" s="1667"/>
      <c r="AK12" s="1667"/>
      <c r="AL12" s="1667"/>
      <c r="AM12" s="1668"/>
    </row>
    <row r="13" spans="1:40" ht="12.95" customHeight="1">
      <c r="B13" s="8"/>
      <c r="C13" s="1659" t="s">
        <v>1706</v>
      </c>
      <c r="D13" s="1660"/>
      <c r="E13" s="1660"/>
      <c r="F13" s="1660"/>
      <c r="G13" s="1660"/>
      <c r="H13" s="1660"/>
      <c r="I13" s="1660"/>
      <c r="J13" s="1660"/>
      <c r="K13" s="1660"/>
      <c r="L13" s="1660"/>
      <c r="M13" s="1660"/>
      <c r="N13" s="1660"/>
      <c r="O13" s="1660"/>
      <c r="P13" s="1660"/>
      <c r="Q13" s="1660"/>
      <c r="R13" s="1660"/>
      <c r="S13" s="1661"/>
      <c r="T13" s="1664"/>
      <c r="U13" s="1665"/>
      <c r="V13" s="1665"/>
      <c r="W13" s="1665"/>
      <c r="X13" s="1665"/>
      <c r="Y13" s="1664"/>
      <c r="Z13" s="1665"/>
      <c r="AA13" s="1665"/>
      <c r="AB13" s="1665"/>
      <c r="AC13" s="1665"/>
      <c r="AD13" s="1665"/>
      <c r="AE13" s="1665"/>
      <c r="AF13" s="1665"/>
      <c r="AG13" s="1665"/>
      <c r="AH13" s="1665"/>
      <c r="AI13" s="1665"/>
      <c r="AJ13" s="1665"/>
      <c r="AK13" s="1665"/>
      <c r="AL13" s="1665"/>
      <c r="AM13" s="1665"/>
    </row>
    <row r="14" spans="1:40" ht="12.95" customHeight="1">
      <c r="B14" s="8"/>
      <c r="C14" s="1660" t="s">
        <v>768</v>
      </c>
      <c r="D14" s="1660"/>
      <c r="E14" s="1660"/>
      <c r="F14" s="1660"/>
      <c r="G14" s="1660"/>
      <c r="H14" s="1660"/>
      <c r="I14" s="1660"/>
      <c r="J14" s="1660"/>
      <c r="K14" s="1660"/>
      <c r="L14" s="1660"/>
      <c r="M14" s="1660"/>
      <c r="N14" s="1660"/>
      <c r="O14" s="1660"/>
      <c r="P14" s="1660"/>
      <c r="Q14" s="1660"/>
      <c r="R14" s="1660"/>
      <c r="S14" s="1661"/>
      <c r="T14" s="1248"/>
      <c r="U14" s="1105"/>
      <c r="V14" s="1105"/>
      <c r="W14" s="1105"/>
      <c r="X14" s="1105"/>
      <c r="Y14" s="1248"/>
      <c r="Z14" s="1105"/>
      <c r="AA14" s="1105"/>
      <c r="AB14" s="1105"/>
      <c r="AC14" s="1105"/>
      <c r="AD14" s="1105"/>
      <c r="AE14" s="1105"/>
      <c r="AF14" s="1105"/>
      <c r="AG14" s="1105"/>
      <c r="AH14" s="1105"/>
      <c r="AI14" s="1105"/>
      <c r="AJ14" s="1105"/>
      <c r="AK14" s="1105"/>
      <c r="AL14" s="1105"/>
      <c r="AM14" s="1105"/>
    </row>
    <row r="15" spans="1:40" ht="12.95" customHeight="1">
      <c r="B15" s="8"/>
      <c r="C15" s="1660" t="s">
        <v>769</v>
      </c>
      <c r="D15" s="1660"/>
      <c r="E15" s="1660"/>
      <c r="F15" s="1660"/>
      <c r="G15" s="1660"/>
      <c r="H15" s="1660"/>
      <c r="I15" s="1660"/>
      <c r="J15" s="1660"/>
      <c r="K15" s="1660"/>
      <c r="L15" s="1660"/>
      <c r="M15" s="1660"/>
      <c r="N15" s="1660"/>
      <c r="O15" s="1660"/>
      <c r="P15" s="1660"/>
      <c r="Q15" s="1660"/>
      <c r="R15" s="1660"/>
      <c r="S15" s="1661"/>
      <c r="T15" s="1248"/>
      <c r="U15" s="1105"/>
      <c r="V15" s="1105"/>
      <c r="W15" s="1105"/>
      <c r="X15" s="1105"/>
      <c r="Y15" s="1248"/>
      <c r="Z15" s="1105"/>
      <c r="AA15" s="1105"/>
      <c r="AB15" s="1105"/>
      <c r="AC15" s="1105"/>
      <c r="AD15" s="1105"/>
      <c r="AE15" s="1105"/>
      <c r="AF15" s="1105"/>
      <c r="AG15" s="1105"/>
      <c r="AH15" s="1105"/>
      <c r="AI15" s="1105"/>
      <c r="AJ15" s="1105"/>
      <c r="AK15" s="1105"/>
      <c r="AL15" s="1105"/>
      <c r="AM15" s="1105"/>
    </row>
    <row r="16" spans="1:40" ht="12.95" customHeight="1">
      <c r="B16" s="8"/>
      <c r="C16" s="1659" t="s">
        <v>1012</v>
      </c>
      <c r="D16" s="1659"/>
      <c r="E16" s="1659"/>
      <c r="F16" s="1659"/>
      <c r="G16" s="1659"/>
      <c r="H16" s="1659"/>
      <c r="I16" s="1659"/>
      <c r="J16" s="1659"/>
      <c r="K16" s="1659"/>
      <c r="L16" s="1659"/>
      <c r="M16" s="1659"/>
      <c r="N16" s="1659"/>
      <c r="O16" s="1659"/>
      <c r="P16" s="1659"/>
      <c r="Q16" s="1659"/>
      <c r="R16" s="1659"/>
      <c r="S16" s="1662"/>
      <c r="T16" s="1248"/>
      <c r="U16" s="1105"/>
      <c r="V16" s="1105"/>
      <c r="W16" s="1105"/>
      <c r="X16" s="1105"/>
      <c r="Y16" s="1248"/>
      <c r="Z16" s="1105"/>
      <c r="AA16" s="1105"/>
      <c r="AB16" s="1105"/>
      <c r="AC16" s="1105"/>
      <c r="AD16" s="1105"/>
      <c r="AE16" s="1105"/>
      <c r="AF16" s="1105"/>
      <c r="AG16" s="1105"/>
      <c r="AH16" s="1105"/>
      <c r="AI16" s="1105"/>
      <c r="AJ16" s="1105"/>
      <c r="AK16" s="1105"/>
      <c r="AL16" s="1105"/>
      <c r="AM16" s="1105"/>
    </row>
    <row r="17" spans="1:39" ht="12.95" customHeight="1">
      <c r="B17" s="8"/>
      <c r="C17" s="1660" t="s">
        <v>770</v>
      </c>
      <c r="D17" s="1660"/>
      <c r="E17" s="1660"/>
      <c r="F17" s="1660"/>
      <c r="G17" s="1660"/>
      <c r="H17" s="1660"/>
      <c r="I17" s="1660"/>
      <c r="J17" s="1660"/>
      <c r="K17" s="1660"/>
      <c r="L17" s="1660"/>
      <c r="M17" s="1660"/>
      <c r="N17" s="1660"/>
      <c r="O17" s="1660"/>
      <c r="P17" s="1660"/>
      <c r="Q17" s="1660"/>
      <c r="R17" s="1660"/>
      <c r="S17" s="1661"/>
      <c r="T17" s="1248"/>
      <c r="U17" s="1105"/>
      <c r="V17" s="1105"/>
      <c r="W17" s="1105"/>
      <c r="X17" s="1105"/>
      <c r="Y17" s="1248"/>
      <c r="Z17" s="1105"/>
      <c r="AA17" s="1105"/>
      <c r="AB17" s="1105"/>
      <c r="AC17" s="1105"/>
      <c r="AD17" s="1105"/>
      <c r="AE17" s="1105"/>
      <c r="AF17" s="1105"/>
      <c r="AG17" s="1105"/>
      <c r="AH17" s="1105"/>
      <c r="AI17" s="1105"/>
      <c r="AJ17" s="1105"/>
      <c r="AK17" s="1105"/>
      <c r="AL17" s="1105"/>
      <c r="AM17" s="1105"/>
    </row>
    <row r="18" spans="1:39" ht="12.95" customHeight="1">
      <c r="B18" s="937"/>
      <c r="C18" s="1636" t="s">
        <v>1217</v>
      </c>
      <c r="D18" s="1636"/>
      <c r="E18" s="1636"/>
      <c r="F18" s="1636"/>
      <c r="G18" s="1636"/>
      <c r="H18" s="1636"/>
      <c r="I18" s="1636"/>
      <c r="J18" s="1636"/>
      <c r="K18" s="1636"/>
      <c r="L18" s="1636"/>
      <c r="M18" s="1636"/>
      <c r="N18" s="1636"/>
      <c r="O18" s="1636"/>
      <c r="P18" s="1636"/>
      <c r="Q18" s="1636"/>
      <c r="R18" s="1636"/>
      <c r="S18" s="1637"/>
      <c r="T18" s="1246"/>
      <c r="U18" s="1247"/>
      <c r="V18" s="1247"/>
      <c r="W18" s="1247"/>
      <c r="X18" s="1248"/>
      <c r="Y18" s="1248"/>
      <c r="Z18" s="1105"/>
      <c r="AA18" s="1105"/>
      <c r="AB18" s="1105"/>
      <c r="AC18" s="1105"/>
      <c r="AD18" s="1105"/>
      <c r="AE18" s="1105"/>
      <c r="AF18" s="1105"/>
      <c r="AG18" s="1105"/>
      <c r="AH18" s="1105"/>
      <c r="AI18" s="1105"/>
      <c r="AJ18" s="1105"/>
      <c r="AK18" s="1105"/>
      <c r="AL18" s="1105"/>
      <c r="AM18" s="1105"/>
    </row>
    <row r="19" spans="1:39" ht="12.95" customHeight="1">
      <c r="B19" s="481"/>
      <c r="C19" s="1636" t="s">
        <v>1217</v>
      </c>
      <c r="D19" s="1636"/>
      <c r="E19" s="1636"/>
      <c r="F19" s="1636"/>
      <c r="G19" s="1636"/>
      <c r="H19" s="1636"/>
      <c r="I19" s="1636"/>
      <c r="J19" s="1636"/>
      <c r="K19" s="1636"/>
      <c r="L19" s="1636"/>
      <c r="M19" s="1636"/>
      <c r="N19" s="1636"/>
      <c r="O19" s="1636"/>
      <c r="P19" s="1636"/>
      <c r="Q19" s="1636"/>
      <c r="R19" s="1636"/>
      <c r="S19" s="1637"/>
      <c r="T19" s="1248"/>
      <c r="U19" s="1105"/>
      <c r="V19" s="1105"/>
      <c r="W19" s="1105"/>
      <c r="X19" s="1105"/>
      <c r="Y19" s="1248"/>
      <c r="Z19" s="1105"/>
      <c r="AA19" s="1105"/>
      <c r="AB19" s="1105"/>
      <c r="AC19" s="1105"/>
      <c r="AD19" s="1105"/>
      <c r="AE19" s="1105"/>
      <c r="AF19" s="1105"/>
      <c r="AG19" s="1105"/>
      <c r="AH19" s="1105"/>
      <c r="AI19" s="1105"/>
      <c r="AJ19" s="1105"/>
      <c r="AK19" s="1105"/>
      <c r="AL19" s="1105"/>
      <c r="AM19" s="1105"/>
    </row>
    <row r="20" spans="1:39" ht="12.95" customHeight="1">
      <c r="B20" s="1225" t="s">
        <v>771</v>
      </c>
      <c r="C20" s="1226"/>
      <c r="D20" s="1226"/>
      <c r="E20" s="1226"/>
      <c r="F20" s="1226"/>
      <c r="G20" s="1226"/>
      <c r="H20" s="1226"/>
      <c r="I20" s="1226"/>
      <c r="J20" s="1226"/>
      <c r="K20" s="1226"/>
      <c r="L20" s="1226"/>
      <c r="M20" s="1226"/>
      <c r="N20" s="1226"/>
      <c r="O20" s="1226"/>
      <c r="P20" s="1226"/>
      <c r="Q20" s="1226"/>
      <c r="R20" s="1226"/>
      <c r="S20" s="1227"/>
      <c r="T20" s="1648">
        <f>SUM(T13:X19)</f>
        <v>0</v>
      </c>
      <c r="U20" s="1242"/>
      <c r="V20" s="1242"/>
      <c r="W20" s="1242"/>
      <c r="X20" s="1242"/>
      <c r="Y20" s="1648">
        <f>SUM(Y13:AC19)</f>
        <v>0</v>
      </c>
      <c r="Z20" s="1242"/>
      <c r="AA20" s="1242"/>
      <c r="AB20" s="1242"/>
      <c r="AC20" s="1242"/>
      <c r="AD20" s="1242">
        <f>SUM(AD13:AH19)</f>
        <v>0</v>
      </c>
      <c r="AE20" s="1242"/>
      <c r="AF20" s="1242"/>
      <c r="AG20" s="1242"/>
      <c r="AH20" s="1242"/>
      <c r="AI20" s="1242">
        <f>SUM(AI13:AM19)</f>
        <v>0</v>
      </c>
      <c r="AJ20" s="1242"/>
      <c r="AK20" s="1242"/>
      <c r="AL20" s="1242"/>
      <c r="AM20" s="1242"/>
    </row>
    <row r="21" spans="1:39" ht="12.95" customHeight="1">
      <c r="B21" s="1225" t="s">
        <v>1705</v>
      </c>
      <c r="C21" s="1226"/>
      <c r="D21" s="1226"/>
      <c r="E21" s="1226"/>
      <c r="F21" s="1226"/>
      <c r="G21" s="1226"/>
      <c r="H21" s="1226"/>
      <c r="I21" s="1226"/>
      <c r="J21" s="1226"/>
      <c r="K21" s="1226"/>
      <c r="L21" s="1226"/>
      <c r="M21" s="1226"/>
      <c r="N21" s="1226"/>
      <c r="O21" s="1226"/>
      <c r="P21" s="1226"/>
      <c r="Q21" s="1226"/>
      <c r="R21" s="1226"/>
      <c r="S21" s="1227"/>
      <c r="T21" s="1248">
        <v>4999996</v>
      </c>
      <c r="U21" s="1105"/>
      <c r="V21" s="1105"/>
      <c r="W21" s="1105"/>
      <c r="X21" s="1105"/>
      <c r="Y21" s="1248"/>
      <c r="Z21" s="1105"/>
      <c r="AA21" s="1105"/>
      <c r="AB21" s="1105"/>
      <c r="AC21" s="1105"/>
      <c r="AD21" s="1248"/>
      <c r="AE21" s="1105"/>
      <c r="AF21" s="1105"/>
      <c r="AG21" s="1105"/>
      <c r="AH21" s="1105"/>
      <c r="AI21" s="1248"/>
      <c r="AJ21" s="1105"/>
      <c r="AK21" s="1105"/>
      <c r="AL21" s="1105"/>
      <c r="AM21" s="1105"/>
    </row>
    <row r="22" spans="1:39" ht="12.95" customHeight="1">
      <c r="B22" s="1225" t="s">
        <v>772</v>
      </c>
      <c r="C22" s="1226"/>
      <c r="D22" s="1226"/>
      <c r="E22" s="1226"/>
      <c r="F22" s="1226"/>
      <c r="G22" s="1226"/>
      <c r="H22" s="1226"/>
      <c r="I22" s="1226"/>
      <c r="J22" s="1226"/>
      <c r="K22" s="1226"/>
      <c r="L22" s="1226"/>
      <c r="M22" s="1226"/>
      <c r="N22" s="1226"/>
      <c r="O22" s="1226"/>
      <c r="P22" s="1226"/>
      <c r="Q22" s="1226"/>
      <c r="R22" s="1226"/>
      <c r="S22" s="1227"/>
      <c r="T22" s="1649">
        <f>(ABS(T20)+ABS(T21))*-1</f>
        <v>-4999996</v>
      </c>
      <c r="U22" s="1650"/>
      <c r="V22" s="1650"/>
      <c r="W22" s="1650"/>
      <c r="X22" s="1650"/>
      <c r="Y22" s="1649">
        <f>(ABS(Y20)+ABS(Y21))*-1</f>
        <v>0</v>
      </c>
      <c r="Z22" s="1650"/>
      <c r="AA22" s="1650"/>
      <c r="AB22" s="1650"/>
      <c r="AC22" s="1650"/>
      <c r="AD22" s="1649">
        <f>(ABS(AD20)+ABS(AD21))*-1</f>
        <v>0</v>
      </c>
      <c r="AE22" s="1650"/>
      <c r="AF22" s="1650"/>
      <c r="AG22" s="1650"/>
      <c r="AH22" s="1650"/>
      <c r="AI22" s="1649">
        <f>(ABS(AI20)+ABS(AI21))*-1</f>
        <v>0</v>
      </c>
      <c r="AJ22" s="1650"/>
      <c r="AK22" s="1650"/>
      <c r="AL22" s="1650"/>
      <c r="AM22" s="1650"/>
    </row>
    <row r="23" spans="1:39" ht="12.95" customHeight="1">
      <c r="B23" s="1225" t="s">
        <v>1894</v>
      </c>
      <c r="C23" s="1226"/>
      <c r="D23" s="1226"/>
      <c r="E23" s="1226"/>
      <c r="F23" s="1226"/>
      <c r="G23" s="1226"/>
      <c r="H23" s="1226"/>
      <c r="I23" s="1226"/>
      <c r="J23" s="1226"/>
      <c r="K23" s="1226"/>
      <c r="L23" s="1226"/>
      <c r="M23" s="1226"/>
      <c r="N23" s="1226"/>
      <c r="O23" s="1226"/>
      <c r="P23" s="1226"/>
      <c r="Q23" s="1226"/>
      <c r="R23" s="1226"/>
      <c r="S23" s="1227"/>
      <c r="T23" s="1648">
        <f>T11+T22</f>
        <v>20760989</v>
      </c>
      <c r="U23" s="1242"/>
      <c r="V23" s="1242"/>
      <c r="W23" s="1242"/>
      <c r="X23" s="1242"/>
      <c r="Y23" s="1648">
        <f>Y11+Y22</f>
        <v>0</v>
      </c>
      <c r="Z23" s="1242"/>
      <c r="AA23" s="1242"/>
      <c r="AB23" s="1242"/>
      <c r="AC23" s="1242"/>
      <c r="AD23" s="1648">
        <f>IF(AD11=AD21,0,AD11)</f>
        <v>0</v>
      </c>
      <c r="AE23" s="1242"/>
      <c r="AF23" s="1242"/>
      <c r="AG23" s="1242"/>
      <c r="AH23" s="1242"/>
      <c r="AI23" s="1648">
        <f>IF(AI11=AI21,0,AI11)</f>
        <v>0</v>
      </c>
      <c r="AJ23" s="1242"/>
      <c r="AK23" s="1242"/>
      <c r="AL23" s="1242"/>
      <c r="AM23" s="1242"/>
    </row>
    <row r="24" spans="1:39" ht="12.95" customHeight="1">
      <c r="B24" s="1225" t="s">
        <v>1218</v>
      </c>
      <c r="C24" s="1226"/>
      <c r="D24" s="1226"/>
      <c r="E24" s="1226"/>
      <c r="F24" s="1226"/>
      <c r="G24" s="1226"/>
      <c r="H24" s="1226"/>
      <c r="I24" s="1226"/>
      <c r="J24" s="1226"/>
      <c r="K24" s="1226"/>
      <c r="L24" s="1226"/>
      <c r="M24" s="1226"/>
      <c r="N24" s="1226"/>
      <c r="O24" s="1226"/>
      <c r="P24" s="1226"/>
      <c r="Q24" s="1226"/>
      <c r="R24" s="1226"/>
      <c r="S24" s="1227"/>
      <c r="T24" s="1646">
        <f>Application!AJ1028</f>
        <v>27477250</v>
      </c>
      <c r="U24" s="1647"/>
      <c r="V24" s="1647"/>
      <c r="W24" s="1647"/>
      <c r="X24" s="1647"/>
      <c r="Y24" s="1647"/>
      <c r="Z24" s="1647"/>
      <c r="AA24" s="1647"/>
      <c r="AB24" s="1647"/>
      <c r="AC24" s="1647"/>
      <c r="AD24" s="1647"/>
      <c r="AE24" s="1647"/>
      <c r="AF24" s="1647"/>
      <c r="AG24" s="1647"/>
      <c r="AH24" s="1647"/>
      <c r="AI24" s="1647"/>
      <c r="AJ24" s="1647"/>
      <c r="AK24" s="1647"/>
      <c r="AL24" s="1647"/>
      <c r="AM24" s="1648"/>
    </row>
    <row r="25" spans="1:39" ht="12.95" customHeight="1">
      <c r="B25" s="1638" t="s">
        <v>1896</v>
      </c>
      <c r="C25" s="1639"/>
      <c r="D25" s="1639"/>
      <c r="E25" s="1639"/>
      <c r="F25" s="1639"/>
      <c r="G25" s="1639"/>
      <c r="H25" s="1639"/>
      <c r="I25" s="1639"/>
      <c r="J25" s="1639"/>
      <c r="K25" s="1639"/>
      <c r="L25" s="1639"/>
      <c r="M25" s="1639"/>
      <c r="N25" s="1639"/>
      <c r="O25" s="1639"/>
      <c r="P25" s="1639"/>
      <c r="Q25" s="1639"/>
      <c r="R25" s="1639"/>
      <c r="S25" s="1640"/>
      <c r="T25" s="1652">
        <f>IF(OR(AND(Application!T193="no",Application!T194="no",Application!T196="no",Application!Y211="no"),Application!T195="yes"),1,1.3)</f>
        <v>1.3</v>
      </c>
      <c r="U25" s="1653"/>
      <c r="V25" s="1653"/>
      <c r="W25" s="1653"/>
      <c r="X25" s="1653"/>
      <c r="Y25" s="1652">
        <v>1</v>
      </c>
      <c r="Z25" s="1653"/>
      <c r="AA25" s="1653"/>
      <c r="AB25" s="1653"/>
      <c r="AC25" s="1654"/>
      <c r="AD25" s="1652">
        <v>1</v>
      </c>
      <c r="AE25" s="1653"/>
      <c r="AF25" s="1653"/>
      <c r="AG25" s="1653"/>
      <c r="AH25" s="1654"/>
      <c r="AI25" s="1652">
        <v>1</v>
      </c>
      <c r="AJ25" s="1653"/>
      <c r="AK25" s="1653"/>
      <c r="AL25" s="1653"/>
      <c r="AM25" s="1654"/>
    </row>
    <row r="26" spans="1:39" ht="12.95" customHeight="1">
      <c r="B26" s="1225" t="s">
        <v>774</v>
      </c>
      <c r="C26" s="1226"/>
      <c r="D26" s="1226"/>
      <c r="E26" s="1226"/>
      <c r="F26" s="1226"/>
      <c r="G26" s="1226"/>
      <c r="H26" s="1226"/>
      <c r="I26" s="1226"/>
      <c r="J26" s="1226"/>
      <c r="K26" s="1226"/>
      <c r="L26" s="1226"/>
      <c r="M26" s="1226"/>
      <c r="N26" s="1226"/>
      <c r="O26" s="1226"/>
      <c r="P26" s="1226"/>
      <c r="Q26" s="1226"/>
      <c r="R26" s="1226"/>
      <c r="S26" s="1227"/>
      <c r="T26" s="1180">
        <f>T23*T25</f>
        <v>26989285.699999999</v>
      </c>
      <c r="U26" s="1651"/>
      <c r="V26" s="1651"/>
      <c r="W26" s="1651"/>
      <c r="X26" s="1651"/>
      <c r="Y26" s="1180">
        <f>Y23*Y25</f>
        <v>0</v>
      </c>
      <c r="Z26" s="1651"/>
      <c r="AA26" s="1651"/>
      <c r="AB26" s="1651"/>
      <c r="AC26" s="1651"/>
      <c r="AD26" s="1180">
        <f>AD23*AD25</f>
        <v>0</v>
      </c>
      <c r="AE26" s="1651"/>
      <c r="AF26" s="1651"/>
      <c r="AG26" s="1651"/>
      <c r="AH26" s="1651"/>
      <c r="AI26" s="1180">
        <f>AI23*AI25</f>
        <v>0</v>
      </c>
      <c r="AJ26" s="1651"/>
      <c r="AK26" s="1651"/>
      <c r="AL26" s="1651"/>
      <c r="AM26" s="1651"/>
    </row>
    <row r="27" spans="1:39" ht="12.95" customHeight="1">
      <c r="A27" s="4"/>
      <c r="B27" s="1641" t="s">
        <v>879</v>
      </c>
      <c r="C27" s="1642"/>
      <c r="D27" s="1642"/>
      <c r="E27" s="1642"/>
      <c r="F27" s="1642"/>
      <c r="G27" s="1642"/>
      <c r="H27" s="1642"/>
      <c r="I27" s="1642"/>
      <c r="J27" s="1642"/>
      <c r="K27" s="1642"/>
      <c r="L27" s="1642"/>
      <c r="M27" s="1642"/>
      <c r="N27" s="1642"/>
      <c r="O27" s="1642"/>
      <c r="P27" s="1642"/>
      <c r="Q27" s="1642"/>
      <c r="R27" s="1642"/>
      <c r="S27" s="1643"/>
      <c r="T27" s="1644">
        <f>Application!AG446</f>
        <v>1</v>
      </c>
      <c r="U27" s="1645"/>
      <c r="V27" s="1645"/>
      <c r="W27" s="1645"/>
      <c r="X27" s="1645"/>
      <c r="Y27" s="1644">
        <f>Application!AG446</f>
        <v>1</v>
      </c>
      <c r="Z27" s="1645"/>
      <c r="AA27" s="1645"/>
      <c r="AB27" s="1645"/>
      <c r="AC27" s="1645"/>
      <c r="AD27" s="1644">
        <f>Application!AG446</f>
        <v>1</v>
      </c>
      <c r="AE27" s="1645"/>
      <c r="AF27" s="1645"/>
      <c r="AG27" s="1645"/>
      <c r="AH27" s="1645"/>
      <c r="AI27" s="1644">
        <f>Application!AG446</f>
        <v>1</v>
      </c>
      <c r="AJ27" s="1645"/>
      <c r="AK27" s="1645"/>
      <c r="AL27" s="1645"/>
      <c r="AM27" s="1645"/>
    </row>
    <row r="28" spans="1:39" ht="12.95" customHeight="1">
      <c r="A28" s="3"/>
      <c r="B28" s="1225" t="s">
        <v>843</v>
      </c>
      <c r="C28" s="1226"/>
      <c r="D28" s="1226"/>
      <c r="E28" s="1226"/>
      <c r="F28" s="1226"/>
      <c r="G28" s="1226"/>
      <c r="H28" s="1226"/>
      <c r="I28" s="1226"/>
      <c r="J28" s="1226"/>
      <c r="K28" s="1226"/>
      <c r="L28" s="1226"/>
      <c r="M28" s="1226"/>
      <c r="N28" s="1226"/>
      <c r="O28" s="1226"/>
      <c r="P28" s="1226"/>
      <c r="Q28" s="1226"/>
      <c r="R28" s="1226"/>
      <c r="S28" s="1227"/>
      <c r="T28" s="1180">
        <f>IF(ISERROR((T26*T27)),0,(T26*T27))</f>
        <v>26989285.699999999</v>
      </c>
      <c r="U28" s="1651"/>
      <c r="V28" s="1651"/>
      <c r="W28" s="1651"/>
      <c r="X28" s="1651"/>
      <c r="Y28" s="1180">
        <f>IF(ISERROR((Y26*Y27)),0,(Y26*Y27))</f>
        <v>0</v>
      </c>
      <c r="Z28" s="1651"/>
      <c r="AA28" s="1651"/>
      <c r="AB28" s="1651"/>
      <c r="AC28" s="1651"/>
      <c r="AD28" s="1180">
        <f>IF(ISERROR((AD26*AD27)),0,(AD26*AD27))</f>
        <v>0</v>
      </c>
      <c r="AE28" s="1651"/>
      <c r="AF28" s="1651"/>
      <c r="AG28" s="1651"/>
      <c r="AH28" s="1651"/>
      <c r="AI28" s="1180">
        <f>IF(ISERROR((AI26*AI27)),0,(AI26*AI27))</f>
        <v>0</v>
      </c>
      <c r="AJ28" s="1651"/>
      <c r="AK28" s="1651"/>
      <c r="AL28" s="1651"/>
      <c r="AM28" s="1651"/>
    </row>
    <row r="29" spans="1:39" ht="12.95" customHeight="1">
      <c r="B29" s="1225" t="s">
        <v>623</v>
      </c>
      <c r="C29" s="1226"/>
      <c r="D29" s="1226"/>
      <c r="E29" s="1226"/>
      <c r="F29" s="1226"/>
      <c r="G29" s="1226"/>
      <c r="H29" s="1226"/>
      <c r="I29" s="1226"/>
      <c r="J29" s="1226"/>
      <c r="K29" s="1226"/>
      <c r="L29" s="1226"/>
      <c r="M29" s="1226"/>
      <c r="N29" s="1226"/>
      <c r="O29" s="1226"/>
      <c r="P29" s="1226"/>
      <c r="Q29" s="1226"/>
      <c r="R29" s="1226"/>
      <c r="S29" s="1227"/>
      <c r="T29" s="1646">
        <f>T28+Y28+AD28+AI28</f>
        <v>26989285.699999999</v>
      </c>
      <c r="U29" s="1647"/>
      <c r="V29" s="1647"/>
      <c r="W29" s="1647"/>
      <c r="X29" s="1647"/>
      <c r="Y29" s="1647"/>
      <c r="Z29" s="1647"/>
      <c r="AA29" s="1647"/>
      <c r="AB29" s="1647"/>
      <c r="AC29" s="1647"/>
      <c r="AD29" s="1647"/>
      <c r="AE29" s="1647"/>
      <c r="AF29" s="1647"/>
      <c r="AG29" s="1647"/>
      <c r="AH29" s="1647"/>
      <c r="AI29" s="1647"/>
      <c r="AJ29" s="1647"/>
      <c r="AK29" s="1647"/>
      <c r="AL29" s="1647"/>
      <c r="AM29" s="1648"/>
    </row>
    <row r="30" spans="1:39" ht="12.95" customHeight="1">
      <c r="B30" s="1682" t="s">
        <v>1895</v>
      </c>
      <c r="C30" s="1682"/>
      <c r="D30" s="1682"/>
      <c r="E30" s="1682"/>
      <c r="F30" s="1682"/>
      <c r="G30" s="1682"/>
      <c r="H30" s="1682"/>
      <c r="I30" s="1682"/>
      <c r="J30" s="1682"/>
      <c r="K30" s="1682"/>
      <c r="L30" s="1682"/>
      <c r="M30" s="1682"/>
      <c r="N30" s="1682"/>
      <c r="O30" s="1682"/>
      <c r="P30" s="1682"/>
      <c r="Q30" s="1682"/>
      <c r="R30" s="1682"/>
      <c r="S30" s="1682"/>
      <c r="T30" s="1682"/>
      <c r="U30" s="1682"/>
      <c r="V30" s="1682"/>
      <c r="W30" s="1682"/>
      <c r="X30" s="1682"/>
      <c r="Y30" s="1682"/>
      <c r="Z30" s="1682"/>
      <c r="AA30" s="1682"/>
      <c r="AB30" s="1682"/>
      <c r="AC30" s="1682"/>
      <c r="AD30" s="1682"/>
      <c r="AE30" s="1682"/>
      <c r="AF30" s="1682"/>
      <c r="AG30" s="1682"/>
      <c r="AH30" s="1682"/>
      <c r="AI30" s="1682"/>
      <c r="AJ30" s="1682"/>
      <c r="AK30" s="1682"/>
      <c r="AL30" s="1682"/>
      <c r="AM30" s="1682"/>
    </row>
    <row r="31" spans="1:39" ht="12.95" customHeight="1">
      <c r="B31" s="1683" t="s">
        <v>1897</v>
      </c>
      <c r="C31" s="1683"/>
      <c r="D31" s="1683"/>
      <c r="E31" s="1683"/>
      <c r="F31" s="1683"/>
      <c r="G31" s="1683"/>
      <c r="H31" s="1683"/>
      <c r="I31" s="1683"/>
      <c r="J31" s="1683"/>
      <c r="K31" s="1683"/>
      <c r="L31" s="1683"/>
      <c r="M31" s="1683"/>
      <c r="N31" s="1683"/>
      <c r="O31" s="1683"/>
      <c r="P31" s="1683"/>
      <c r="Q31" s="1683"/>
      <c r="R31" s="1683"/>
      <c r="S31" s="1683"/>
      <c r="T31" s="1683"/>
      <c r="U31" s="1683"/>
      <c r="V31" s="1683"/>
      <c r="W31" s="1683"/>
      <c r="X31" s="1683"/>
      <c r="Y31" s="1683"/>
      <c r="Z31" s="1683"/>
      <c r="AA31" s="1683"/>
      <c r="AB31" s="1683"/>
      <c r="AC31" s="1683"/>
      <c r="AD31" s="1683"/>
      <c r="AE31" s="1683"/>
      <c r="AF31" s="1683"/>
      <c r="AG31" s="1683"/>
      <c r="AH31" s="1683"/>
      <c r="AI31" s="1683"/>
      <c r="AJ31" s="1683"/>
      <c r="AK31" s="1683"/>
      <c r="AL31" s="1683"/>
      <c r="AM31" s="1683"/>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55" t="s">
        <v>1600</v>
      </c>
      <c r="Z35" s="1655"/>
      <c r="AA35" s="1655"/>
      <c r="AB35" s="1655"/>
      <c r="AC35" s="1655"/>
      <c r="AD35" s="1532" t="s">
        <v>41</v>
      </c>
      <c r="AE35" s="1532"/>
      <c r="AF35" s="1532"/>
      <c r="AG35" s="1532"/>
      <c r="AH35" s="1532"/>
    </row>
    <row r="36" spans="1:44" ht="12.95" customHeight="1">
      <c r="B36" s="202"/>
      <c r="X36" s="71"/>
      <c r="Y36" s="1655"/>
      <c r="Z36" s="1655"/>
      <c r="AA36" s="1655"/>
      <c r="AB36" s="1655"/>
      <c r="AC36" s="1655"/>
      <c r="AD36" s="1532"/>
      <c r="AE36" s="1532"/>
      <c r="AF36" s="1532"/>
      <c r="AG36" s="1532"/>
      <c r="AH36" s="1532"/>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55"/>
      <c r="Z37" s="1655"/>
      <c r="AA37" s="1655"/>
      <c r="AB37" s="1655"/>
      <c r="AC37" s="1655"/>
      <c r="AD37" s="1532"/>
      <c r="AE37" s="1532"/>
      <c r="AF37" s="1532"/>
      <c r="AG37" s="1532"/>
      <c r="AH37" s="1532"/>
    </row>
    <row r="38" spans="1:44" ht="12.95" customHeight="1">
      <c r="A38" s="3"/>
      <c r="B38" s="1225" t="s">
        <v>843</v>
      </c>
      <c r="C38" s="1226"/>
      <c r="D38" s="1226"/>
      <c r="E38" s="1226"/>
      <c r="F38" s="1226"/>
      <c r="G38" s="1226"/>
      <c r="H38" s="1226"/>
      <c r="I38" s="1226"/>
      <c r="J38" s="1226"/>
      <c r="K38" s="1226"/>
      <c r="L38" s="1226"/>
      <c r="M38" s="1226"/>
      <c r="N38" s="1226"/>
      <c r="O38" s="1226"/>
      <c r="P38" s="1226"/>
      <c r="Q38" s="1226"/>
      <c r="R38" s="1226"/>
      <c r="S38" s="1226"/>
      <c r="T38" s="1226"/>
      <c r="U38" s="1226"/>
      <c r="V38" s="1226"/>
      <c r="W38" s="1226"/>
      <c r="X38" s="1227"/>
      <c r="Y38" s="1242">
        <f>IF(T24&gt;=(T23+Y23+AD23+AI23),T28+Y28,0)</f>
        <v>26989285.699999999</v>
      </c>
      <c r="Z38" s="1242"/>
      <c r="AA38" s="1242"/>
      <c r="AB38" s="1242"/>
      <c r="AC38" s="1242"/>
      <c r="AD38" s="1242">
        <f>IF(T24&gt;=(T23+Y23+AD23+AI23),AD28+AI28,0)</f>
        <v>0</v>
      </c>
      <c r="AE38" s="1242"/>
      <c r="AF38" s="1242"/>
      <c r="AG38" s="1242"/>
      <c r="AH38" s="1242"/>
    </row>
    <row r="39" spans="1:44" ht="12.95" customHeight="1">
      <c r="B39" s="1225" t="s">
        <v>1804</v>
      </c>
      <c r="C39" s="1226"/>
      <c r="D39" s="1226"/>
      <c r="E39" s="1226"/>
      <c r="F39" s="1226"/>
      <c r="G39" s="1226"/>
      <c r="H39" s="1226"/>
      <c r="I39" s="1226"/>
      <c r="J39" s="1226"/>
      <c r="K39" s="1226"/>
      <c r="L39" s="1226"/>
      <c r="M39" s="1226"/>
      <c r="N39" s="1226"/>
      <c r="O39" s="1226"/>
      <c r="P39" s="1226"/>
      <c r="Q39" s="1226"/>
      <c r="R39" s="1226"/>
      <c r="S39" s="1226"/>
      <c r="T39" s="1226"/>
      <c r="U39" s="1226"/>
      <c r="V39" s="1226"/>
      <c r="W39" s="1226"/>
      <c r="X39" s="1227"/>
      <c r="Y39" s="1686">
        <v>0.09</v>
      </c>
      <c r="Z39" s="1686"/>
      <c r="AA39" s="1686"/>
      <c r="AB39" s="1686"/>
      <c r="AC39" s="1686"/>
      <c r="AD39" s="1686">
        <v>0.04</v>
      </c>
      <c r="AE39" s="1686"/>
      <c r="AF39" s="1686"/>
      <c r="AG39" s="1686"/>
      <c r="AH39" s="1686"/>
    </row>
    <row r="40" spans="1:44" ht="12.95" customHeight="1">
      <c r="A40" s="3"/>
      <c r="B40" s="1225" t="s">
        <v>23</v>
      </c>
      <c r="C40" s="1226"/>
      <c r="D40" s="1226"/>
      <c r="E40" s="1226"/>
      <c r="F40" s="1226"/>
      <c r="G40" s="1226"/>
      <c r="H40" s="1226"/>
      <c r="I40" s="1226"/>
      <c r="J40" s="1226"/>
      <c r="K40" s="1226"/>
      <c r="L40" s="1226"/>
      <c r="M40" s="1226"/>
      <c r="N40" s="1226"/>
      <c r="O40" s="1226"/>
      <c r="P40" s="1226"/>
      <c r="Q40" s="1226"/>
      <c r="R40" s="1226"/>
      <c r="S40" s="1226"/>
      <c r="T40" s="1226"/>
      <c r="U40" s="1226"/>
      <c r="V40" s="1226"/>
      <c r="W40" s="1226"/>
      <c r="X40" s="1227"/>
      <c r="Y40" s="1242">
        <f>ROUND(Y38*Y39,0)</f>
        <v>2429036</v>
      </c>
      <c r="Z40" s="1242"/>
      <c r="AA40" s="1242"/>
      <c r="AB40" s="1242"/>
      <c r="AC40" s="1242"/>
      <c r="AD40" s="1648">
        <f>ROUND(AD38*AD39,0)</f>
        <v>0</v>
      </c>
      <c r="AE40" s="1242"/>
      <c r="AF40" s="1242"/>
      <c r="AG40" s="1242"/>
      <c r="AH40" s="1242"/>
    </row>
    <row r="41" spans="1:44" ht="12.95" customHeight="1">
      <c r="B41" s="1225" t="s">
        <v>617</v>
      </c>
      <c r="C41" s="1226"/>
      <c r="D41" s="1226"/>
      <c r="E41" s="1226"/>
      <c r="F41" s="1226"/>
      <c r="G41" s="1226"/>
      <c r="H41" s="1226"/>
      <c r="I41" s="1226"/>
      <c r="J41" s="1226"/>
      <c r="K41" s="1226"/>
      <c r="L41" s="1226"/>
      <c r="M41" s="1226"/>
      <c r="N41" s="1226"/>
      <c r="O41" s="1226"/>
      <c r="P41" s="1226"/>
      <c r="Q41" s="1226"/>
      <c r="R41" s="1226"/>
      <c r="S41" s="1226"/>
      <c r="T41" s="1226"/>
      <c r="U41" s="1226"/>
      <c r="V41" s="1226"/>
      <c r="W41" s="1226"/>
      <c r="X41" s="1227"/>
      <c r="Y41" s="1646">
        <f>IF(Application!Y211="No",'Basis &amp; Credits'!AR42,AR43)</f>
        <v>2429036</v>
      </c>
      <c r="Z41" s="1647"/>
      <c r="AA41" s="1647"/>
      <c r="AB41" s="1647"/>
      <c r="AC41" s="1647"/>
      <c r="AD41" s="1647"/>
      <c r="AE41" s="1647"/>
      <c r="AF41" s="1647"/>
      <c r="AG41" s="1647"/>
      <c r="AH41" s="1648"/>
    </row>
    <row r="42" spans="1:44" ht="12.95" customHeight="1">
      <c r="A42" s="3"/>
      <c r="B42" s="1680" t="s">
        <v>1805</v>
      </c>
      <c r="C42" s="1680"/>
      <c r="D42" s="1680"/>
      <c r="E42" s="1680"/>
      <c r="F42" s="1680"/>
      <c r="G42" s="1680"/>
      <c r="H42" s="1680"/>
      <c r="I42" s="1680"/>
      <c r="J42" s="1680"/>
      <c r="K42" s="1680"/>
      <c r="L42" s="1680"/>
      <c r="M42" s="1680"/>
      <c r="N42" s="1680"/>
      <c r="O42" s="1680"/>
      <c r="P42" s="1680"/>
      <c r="Q42" s="1680"/>
      <c r="R42" s="1680"/>
      <c r="S42" s="1680"/>
      <c r="T42" s="1680"/>
      <c r="U42" s="1680"/>
      <c r="V42" s="1680"/>
      <c r="W42" s="1680"/>
      <c r="X42" s="1680"/>
      <c r="Y42" s="1680"/>
      <c r="Z42" s="1680"/>
      <c r="AA42" s="1680"/>
      <c r="AB42" s="1680"/>
      <c r="AC42" s="1680"/>
      <c r="AD42" s="1680"/>
      <c r="AE42" s="1680"/>
      <c r="AF42" s="1680"/>
      <c r="AG42" s="1680"/>
      <c r="AH42" s="1680"/>
      <c r="AI42" s="26"/>
      <c r="AJ42" s="26"/>
      <c r="AK42" s="26"/>
      <c r="AL42" s="26"/>
      <c r="AM42" s="26"/>
      <c r="AN42" s="26"/>
      <c r="AR42">
        <f>IF((Y40+AD40)&gt;2500000,2500000,Y40+AD40)</f>
        <v>2429036</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2429036</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36">
        <f>'Sources and Uses Budget'!B104-(MAX(IF('Sources and Uses Budget'!B15="",0,'Sources and Uses Budget'!B15),IF(Application!AG395="",0,Application!AG395)))</f>
        <v>30313987</v>
      </c>
      <c r="AC46" s="1237"/>
      <c r="AD46" s="1237"/>
      <c r="AE46" s="1237"/>
      <c r="AF46" s="1238"/>
    </row>
    <row r="47" spans="1:44" ht="12.95" customHeight="1">
      <c r="D47" s="3" t="s">
        <v>837</v>
      </c>
      <c r="AB47" s="1236">
        <f>Application!AO641-MAX(IF('Sources and Uses Budget'!B15="",0,'Sources and Uses Budget'!B15),IF(Application!AG395="",0,Application!AG395))</f>
        <v>9302832</v>
      </c>
      <c r="AC47" s="1237"/>
      <c r="AD47" s="1237"/>
      <c r="AE47" s="1237"/>
      <c r="AF47" s="1238"/>
    </row>
    <row r="48" spans="1:44" ht="12.95" customHeight="1">
      <c r="D48" s="3" t="s">
        <v>378</v>
      </c>
      <c r="AB48" s="1236">
        <f>AB46-AB47</f>
        <v>21011155</v>
      </c>
      <c r="AC48" s="1237"/>
      <c r="AD48" s="1237"/>
      <c r="AE48" s="1237"/>
      <c r="AF48" s="1238"/>
    </row>
    <row r="49" spans="1:40" ht="12.95" customHeight="1">
      <c r="D49" s="3" t="s">
        <v>872</v>
      </c>
      <c r="AA49" s="34"/>
      <c r="AB49" s="1675">
        <v>0.86499999999999999</v>
      </c>
      <c r="AC49" s="1676"/>
      <c r="AD49" s="1676"/>
      <c r="AE49" s="1676"/>
      <c r="AF49" s="1677"/>
    </row>
    <row r="50" spans="1:40" s="321" customFormat="1" ht="12.95" customHeight="1">
      <c r="A50"/>
      <c r="B50"/>
      <c r="C50"/>
      <c r="D50"/>
      <c r="E50" s="1681" t="s">
        <v>2329</v>
      </c>
      <c r="F50" s="1681"/>
      <c r="G50" s="1681"/>
      <c r="H50" s="1681"/>
      <c r="I50" s="1681"/>
      <c r="J50" s="1681"/>
      <c r="K50" s="1681"/>
      <c r="L50" s="1681"/>
      <c r="M50" s="1681"/>
      <c r="N50" s="1681"/>
      <c r="O50" s="1681"/>
      <c r="P50" s="1681"/>
      <c r="Q50" s="1681"/>
      <c r="R50" s="1681"/>
      <c r="S50" s="1681"/>
      <c r="T50" s="1681"/>
      <c r="U50" s="1681"/>
      <c r="V50" s="1681"/>
      <c r="W50" s="1681"/>
      <c r="X50" s="1681"/>
      <c r="Y50" s="1681"/>
      <c r="Z50" s="1681"/>
      <c r="AA50" s="351"/>
      <c r="AB50" s="351"/>
      <c r="AC50" s="351"/>
      <c r="AD50" s="351"/>
      <c r="AE50" s="351"/>
      <c r="AF50" s="351"/>
      <c r="AG50"/>
      <c r="AH50"/>
      <c r="AI50"/>
      <c r="AJ50"/>
      <c r="AK50"/>
      <c r="AL50"/>
      <c r="AM50"/>
      <c r="AN50"/>
    </row>
    <row r="51" spans="1:40" s="321" customFormat="1" ht="12.95" customHeight="1">
      <c r="A51"/>
      <c r="B51"/>
      <c r="C51"/>
      <c r="D51"/>
      <c r="E51" s="1681"/>
      <c r="F51" s="1681"/>
      <c r="G51" s="1681"/>
      <c r="H51" s="1681"/>
      <c r="I51" s="1681"/>
      <c r="J51" s="1681"/>
      <c r="K51" s="1681"/>
      <c r="L51" s="1681"/>
      <c r="M51" s="1681"/>
      <c r="N51" s="1681"/>
      <c r="O51" s="1681"/>
      <c r="P51" s="1681"/>
      <c r="Q51" s="1681"/>
      <c r="R51" s="1681"/>
      <c r="S51" s="1681"/>
      <c r="T51" s="1681"/>
      <c r="U51" s="1681"/>
      <c r="V51" s="1681"/>
      <c r="W51" s="1681"/>
      <c r="X51" s="1681"/>
      <c r="Y51" s="1681"/>
      <c r="Z51" s="1681"/>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6">
        <f>ROUND(IF(ISERROR((AB48/AB49)),0,(AB48/AB49)),0)</f>
        <v>24290353</v>
      </c>
      <c r="AC53" s="1237"/>
      <c r="AD53" s="1237"/>
      <c r="AE53" s="1237"/>
      <c r="AF53" s="1238"/>
    </row>
    <row r="54" spans="1:40" ht="12.95" customHeight="1">
      <c r="D54" s="3" t="s">
        <v>561</v>
      </c>
      <c r="AB54" s="1236">
        <f>(AB53/10)</f>
        <v>2429035.2999999998</v>
      </c>
      <c r="AC54" s="1237"/>
      <c r="AD54" s="1237"/>
      <c r="AE54" s="1237"/>
      <c r="AF54" s="1238"/>
    </row>
    <row r="55" spans="1:40" ht="12.95" customHeight="1">
      <c r="D55" s="3" t="s">
        <v>341</v>
      </c>
      <c r="AB55" s="1236">
        <f>(IF((Y41&lt;AB54),Y41,AB54))</f>
        <v>2429035.2999999998</v>
      </c>
      <c r="AC55" s="1237"/>
      <c r="AD55" s="1237"/>
      <c r="AE55" s="1237"/>
      <c r="AF55" s="1238"/>
    </row>
    <row r="56" spans="1:40" ht="12.95" customHeight="1">
      <c r="D56" s="3" t="s">
        <v>107</v>
      </c>
      <c r="AB56" s="1236">
        <f>ROUND((10*AB55*AB49),0)</f>
        <v>21011155</v>
      </c>
      <c r="AC56" s="1237"/>
      <c r="AD56" s="1237"/>
      <c r="AE56" s="1237"/>
      <c r="AF56" s="1238"/>
    </row>
    <row r="57" spans="1:40" ht="12.95" customHeight="1">
      <c r="D57" s="3"/>
      <c r="AB57" s="274"/>
      <c r="AC57" s="274"/>
      <c r="AD57" s="274"/>
      <c r="AE57" s="274"/>
      <c r="AF57" s="274"/>
    </row>
    <row r="58" spans="1:40" ht="12.95" customHeight="1">
      <c r="D58" s="3" t="s">
        <v>106</v>
      </c>
      <c r="AB58" s="1127">
        <f>AB48-AB56</f>
        <v>0</v>
      </c>
      <c r="AC58" s="1127"/>
      <c r="AD58" s="1127"/>
      <c r="AE58" s="1127"/>
      <c r="AF58" s="1127"/>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84" t="s">
        <v>1742</v>
      </c>
      <c r="B60" s="1684"/>
      <c r="C60" s="1684"/>
      <c r="D60" s="1684"/>
      <c r="E60" s="1684"/>
      <c r="F60" s="1684"/>
      <c r="G60" s="1684"/>
      <c r="H60" s="1684"/>
      <c r="I60" s="1684"/>
      <c r="J60" s="1684"/>
      <c r="K60" s="1684"/>
      <c r="L60" s="1684"/>
      <c r="M60" s="1684"/>
      <c r="N60" s="1684"/>
      <c r="O60" s="1684"/>
      <c r="P60" s="1684"/>
      <c r="Q60" s="1684"/>
      <c r="R60" s="1684"/>
      <c r="S60" s="1684"/>
      <c r="T60" s="1684"/>
      <c r="U60" s="1684"/>
      <c r="V60" s="1684"/>
      <c r="W60" s="1684"/>
      <c r="X60" s="1684"/>
      <c r="Y60" s="1684"/>
      <c r="Z60" s="1684"/>
      <c r="AA60" s="1684"/>
      <c r="AB60" s="1684"/>
      <c r="AC60" s="1684"/>
      <c r="AD60" s="1684"/>
      <c r="AE60" s="1684"/>
      <c r="AF60" s="1684"/>
      <c r="AG60" s="1684"/>
      <c r="AH60" s="1684"/>
      <c r="AI60" s="1684"/>
      <c r="AJ60" s="1684"/>
      <c r="AK60" s="1684"/>
      <c r="AL60" s="1684"/>
      <c r="AM60" s="1684"/>
      <c r="AN60" s="1684"/>
    </row>
    <row r="61" spans="1:40" ht="12.95" customHeight="1" thickTop="1">
      <c r="A61" s="1560"/>
      <c r="B61" s="1560"/>
      <c r="C61" s="1560"/>
      <c r="D61" s="1560"/>
      <c r="E61" s="1560"/>
      <c r="F61" s="1560"/>
      <c r="G61" s="1560"/>
      <c r="H61" s="1560"/>
      <c r="I61" s="1560"/>
      <c r="J61" s="1560"/>
      <c r="K61" s="1560"/>
      <c r="L61" s="1560"/>
      <c r="M61" s="1560"/>
      <c r="N61" s="1560"/>
      <c r="O61" s="1560"/>
      <c r="P61" s="1560"/>
      <c r="Q61" s="1560"/>
      <c r="R61" s="1560"/>
      <c r="S61" s="1560"/>
      <c r="T61" s="1560"/>
      <c r="U61" s="1560"/>
      <c r="V61" s="1560"/>
      <c r="W61" s="1560"/>
      <c r="X61" s="1560"/>
      <c r="Y61" s="1560"/>
      <c r="Z61" s="1560"/>
      <c r="AA61" s="1560"/>
      <c r="AB61" s="1560"/>
      <c r="AC61" s="1560"/>
      <c r="AD61" s="1560"/>
      <c r="AE61" s="1560"/>
      <c r="AF61" s="1560"/>
      <c r="AG61" s="1560"/>
      <c r="AH61" s="1560"/>
      <c r="AI61" s="1560"/>
      <c r="AJ61" s="1560"/>
      <c r="AK61" s="1560"/>
      <c r="AL61" s="1560"/>
      <c r="AM61" s="1560"/>
      <c r="AN61" s="1560"/>
    </row>
    <row r="62" spans="1:40" ht="12.95" customHeight="1">
      <c r="A62" s="3" t="s">
        <v>122</v>
      </c>
      <c r="C62" s="3" t="s">
        <v>509</v>
      </c>
      <c r="Y62" s="1206" t="s">
        <v>298</v>
      </c>
      <c r="Z62" s="1206"/>
      <c r="AA62" s="1206"/>
      <c r="AB62" s="1206"/>
      <c r="AC62" s="1206"/>
      <c r="AD62" s="1206" t="s">
        <v>41</v>
      </c>
      <c r="AE62" s="1206"/>
      <c r="AF62" s="1206"/>
      <c r="AG62" s="1206"/>
      <c r="AH62" s="1206"/>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51">
        <f>IF(AND(Application!T193="No",Application!T194="No"),T28,IF(OR(AND(T25=1.3,Application!T196="Yes",Application!D214="Special Needs"),T25=1),(T23*T27)+Y28,Y28))</f>
        <v>0</v>
      </c>
      <c r="Z63" s="1678"/>
      <c r="AA63" s="1678"/>
      <c r="AB63" s="1678"/>
      <c r="AC63" s="1678"/>
      <c r="AD63" s="1242">
        <f>IF(AND(T25=1.3,Application!D214="At-Risk"),AI28,IF(Application!D214&lt;&gt;"At-Risk",0,AD28))</f>
        <v>0</v>
      </c>
      <c r="AE63" s="1678"/>
      <c r="AF63" s="1678"/>
      <c r="AG63" s="1678"/>
      <c r="AH63" s="1678"/>
    </row>
    <row r="64" spans="1:40" ht="12.95" customHeight="1">
      <c r="C64" s="3"/>
      <c r="E64" s="1685" t="s">
        <v>1289</v>
      </c>
      <c r="F64" s="1685"/>
      <c r="G64" s="1685"/>
      <c r="H64" s="1685"/>
      <c r="I64" s="1685"/>
      <c r="J64" s="1685"/>
      <c r="K64" s="1685"/>
      <c r="L64" s="1685"/>
      <c r="M64" s="1685"/>
      <c r="N64" s="1685"/>
      <c r="O64" s="1685"/>
      <c r="P64" s="1685"/>
      <c r="Q64" s="1685"/>
      <c r="R64" s="1685"/>
      <c r="S64" s="1685"/>
      <c r="T64" s="1685"/>
      <c r="U64" s="1685"/>
      <c r="V64" s="1685"/>
      <c r="W64" s="1685"/>
      <c r="X64" s="1685"/>
      <c r="Y64" s="1685"/>
      <c r="Z64" s="1685"/>
      <c r="AA64" s="1685"/>
      <c r="AB64" s="1685"/>
      <c r="AC64" s="1685"/>
      <c r="AD64" s="1685"/>
      <c r="AE64" s="1685"/>
      <c r="AF64" s="1685"/>
      <c r="AG64" s="1685"/>
      <c r="AH64" s="1685"/>
    </row>
    <row r="65" spans="1:34" ht="21.75" customHeight="1">
      <c r="C65" s="3"/>
      <c r="E65" s="1685"/>
      <c r="F65" s="1685"/>
      <c r="G65" s="1685"/>
      <c r="H65" s="1685"/>
      <c r="I65" s="1685"/>
      <c r="J65" s="1685"/>
      <c r="K65" s="1685"/>
      <c r="L65" s="1685"/>
      <c r="M65" s="1685"/>
      <c r="N65" s="1685"/>
      <c r="O65" s="1685"/>
      <c r="P65" s="1685"/>
      <c r="Q65" s="1685"/>
      <c r="R65" s="1685"/>
      <c r="S65" s="1685"/>
      <c r="T65" s="1685"/>
      <c r="U65" s="1685"/>
      <c r="V65" s="1685"/>
      <c r="W65" s="1685"/>
      <c r="X65" s="1685"/>
      <c r="Y65" s="1685"/>
      <c r="Z65" s="1685"/>
      <c r="AA65" s="1685"/>
      <c r="AB65" s="1685"/>
      <c r="AC65" s="1685"/>
      <c r="AD65" s="1685"/>
      <c r="AE65" s="1685"/>
      <c r="AF65" s="1685"/>
      <c r="AG65" s="1685"/>
      <c r="AH65" s="1685"/>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74">
        <f>IF(Application!W198="Yes",95%, 30%)</f>
        <v>0.3</v>
      </c>
      <c r="Z66" s="1674"/>
      <c r="AA66" s="1674"/>
      <c r="AB66" s="1674"/>
      <c r="AC66" s="1674"/>
      <c r="AD66" s="1674">
        <f>IF(Application!W198="Yes",95%, 13%)</f>
        <v>0.13</v>
      </c>
      <c r="AE66" s="1674"/>
      <c r="AF66" s="1674"/>
      <c r="AG66" s="1674"/>
      <c r="AH66" s="1674"/>
    </row>
    <row r="67" spans="1:34" ht="12.95" customHeight="1">
      <c r="C67" s="3"/>
      <c r="D67" s="3" t="s">
        <v>941</v>
      </c>
      <c r="Y67" s="1242">
        <f>ROUND(Y63*Y66,0)</f>
        <v>0</v>
      </c>
      <c r="Z67" s="1678"/>
      <c r="AA67" s="1678"/>
      <c r="AB67" s="1678"/>
      <c r="AC67" s="1678"/>
      <c r="AD67" s="1242" t="str">
        <f>IF(OR(Application!D211="At-Risk",Application!D211="At-Risk/Located in Rural Census Tract",Application!D214="At-Risk"),ROUND(AD63*AD66,0),"$0")</f>
        <v>$0</v>
      </c>
      <c r="AE67" s="1242"/>
      <c r="AF67" s="1242"/>
      <c r="AG67" s="1242"/>
      <c r="AH67" s="1242"/>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75"/>
      <c r="AC70" s="1676"/>
      <c r="AD70" s="1676"/>
      <c r="AE70" s="1676"/>
      <c r="AF70" s="1677"/>
    </row>
    <row r="71" spans="1:34" ht="12.95" customHeight="1">
      <c r="A71" s="3"/>
      <c r="C71" s="3"/>
      <c r="D71" s="3"/>
      <c r="E71" s="1679" t="s">
        <v>2233</v>
      </c>
      <c r="F71" s="1679"/>
      <c r="G71" s="1679"/>
      <c r="H71" s="1679"/>
      <c r="I71" s="1679"/>
      <c r="J71" s="1679"/>
      <c r="K71" s="1679"/>
      <c r="L71" s="1679"/>
      <c r="M71" s="1679"/>
      <c r="N71" s="1679"/>
      <c r="O71" s="1679"/>
      <c r="P71" s="1679"/>
      <c r="Q71" s="1679"/>
      <c r="R71" s="1679"/>
      <c r="S71" s="1679"/>
      <c r="T71" s="1679"/>
      <c r="U71" s="1679"/>
      <c r="V71" s="1679"/>
      <c r="W71" s="1679"/>
      <c r="X71" s="1679"/>
      <c r="Y71" s="1679"/>
      <c r="Z71" s="1679"/>
      <c r="AA71" s="251"/>
      <c r="AB71" s="251"/>
      <c r="AC71" s="251"/>
    </row>
    <row r="72" spans="1:34" ht="12.95" customHeight="1">
      <c r="A72" s="3"/>
      <c r="C72" s="3"/>
      <c r="D72" s="3"/>
      <c r="E72" s="1679"/>
      <c r="F72" s="1679"/>
      <c r="G72" s="1679"/>
      <c r="H72" s="1679"/>
      <c r="I72" s="1679"/>
      <c r="J72" s="1679"/>
      <c r="K72" s="1679"/>
      <c r="L72" s="1679"/>
      <c r="M72" s="1679"/>
      <c r="N72" s="1679"/>
      <c r="O72" s="1679"/>
      <c r="P72" s="1679"/>
      <c r="Q72" s="1679"/>
      <c r="R72" s="1679"/>
      <c r="S72" s="1679"/>
      <c r="T72" s="1679"/>
      <c r="U72" s="1679"/>
      <c r="V72" s="1679"/>
      <c r="W72" s="1679"/>
      <c r="X72" s="1679"/>
      <c r="Y72" s="1679"/>
      <c r="Z72" s="1679"/>
      <c r="AA72" s="251"/>
      <c r="AB72" s="251"/>
      <c r="AC72" s="251"/>
    </row>
    <row r="73" spans="1:34" ht="12.95" customHeight="1">
      <c r="A73" s="3"/>
      <c r="C73" s="3"/>
      <c r="D73" s="3"/>
      <c r="E73" s="1679"/>
      <c r="F73" s="1679"/>
      <c r="G73" s="1679"/>
      <c r="H73" s="1679"/>
      <c r="I73" s="1679"/>
      <c r="J73" s="1679"/>
      <c r="K73" s="1679"/>
      <c r="L73" s="1679"/>
      <c r="M73" s="1679"/>
      <c r="N73" s="1679"/>
      <c r="O73" s="1679"/>
      <c r="P73" s="1679"/>
      <c r="Q73" s="1679"/>
      <c r="R73" s="1679"/>
      <c r="S73" s="1679"/>
      <c r="T73" s="1679"/>
      <c r="U73" s="1679"/>
      <c r="V73" s="1679"/>
      <c r="W73" s="1679"/>
      <c r="X73" s="1679"/>
      <c r="Y73" s="1679"/>
      <c r="Z73" s="167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54">
        <f>ROUND(IF(ISERROR((AB58/AB70)),0,(AB58/AB70)),0)</f>
        <v>0</v>
      </c>
      <c r="AC75" s="1554"/>
      <c r="AD75" s="1554"/>
      <c r="AE75" s="1554"/>
      <c r="AF75" s="1554"/>
    </row>
    <row r="76" spans="1:34" ht="12.95" customHeight="1">
      <c r="C76" s="3"/>
      <c r="D76" s="3" t="s">
        <v>105</v>
      </c>
      <c r="AB76" s="1599">
        <f>ROUNDUP(MIN((Y67+AD67),AB75),0)</f>
        <v>0</v>
      </c>
      <c r="AC76" s="1600"/>
      <c r="AD76" s="1600"/>
      <c r="AE76" s="1600"/>
      <c r="AF76" s="1601"/>
    </row>
    <row r="77" spans="1:34" ht="12.95" customHeight="1">
      <c r="C77" s="3"/>
      <c r="D77" s="3" t="s">
        <v>942</v>
      </c>
      <c r="AB77" s="1673">
        <f>AB76*AB70</f>
        <v>0</v>
      </c>
      <c r="AC77" s="1673"/>
      <c r="AD77" s="1673"/>
      <c r="AE77" s="1673"/>
      <c r="AF77" s="1673"/>
    </row>
    <row r="78" spans="1:34" ht="12.95" customHeight="1">
      <c r="C78" s="3"/>
      <c r="D78" s="3"/>
      <c r="AB78" s="595"/>
      <c r="AC78" s="595"/>
      <c r="AD78" s="595"/>
      <c r="AE78" s="595"/>
      <c r="AF78" s="595"/>
    </row>
    <row r="79" spans="1:34" ht="12.95" customHeight="1">
      <c r="D79" s="3" t="s">
        <v>106</v>
      </c>
      <c r="AB79" s="1127">
        <f>AB48-(AB56+AB77)</f>
        <v>0</v>
      </c>
      <c r="AC79" s="1127"/>
      <c r="AD79" s="1127"/>
      <c r="AE79" s="1127"/>
      <c r="AF79" s="1127"/>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5"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4" workbookViewId="0">
      <selection activeCell="C97" sqref="C97"/>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87" t="s">
        <v>1812</v>
      </c>
      <c r="B1" s="1688"/>
      <c r="C1" s="1688"/>
      <c r="D1" s="1688"/>
      <c r="E1" s="1688"/>
      <c r="F1" s="1688"/>
      <c r="G1" s="1688"/>
      <c r="H1" s="1688"/>
      <c r="I1" s="1688"/>
      <c r="J1" s="1689"/>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4200000</v>
      </c>
      <c r="C4" s="582">
        <f>+B4</f>
        <v>4200000</v>
      </c>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4200000</v>
      </c>
      <c r="C8" s="581">
        <f>SUM(C4:C7)</f>
        <v>4200000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4200000</v>
      </c>
      <c r="C12" s="581">
        <f>SUM(C8+C11)</f>
        <v>4200000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f t="shared" ref="C28:C36" si="0">+B28</f>
        <v>0</v>
      </c>
      <c r="D28" s="582"/>
      <c r="E28" s="581">
        <f>'Sources and Uses Budget'!S29</f>
        <v>0</v>
      </c>
      <c r="F28" s="582"/>
      <c r="G28" s="582"/>
      <c r="H28" s="581">
        <f>'Sources and Uses Budget'!T29</f>
        <v>0</v>
      </c>
      <c r="I28" s="582"/>
      <c r="J28" s="582"/>
      <c r="K28" s="576"/>
    </row>
    <row r="29" spans="1:11" s="251" customFormat="1">
      <c r="A29" s="237" t="s">
        <v>911</v>
      </c>
      <c r="B29" s="581">
        <f>'Sources and Uses Budget'!C30</f>
        <v>12101100</v>
      </c>
      <c r="C29" s="582">
        <f t="shared" si="0"/>
        <v>12101100</v>
      </c>
      <c r="D29" s="582"/>
      <c r="E29" s="581">
        <f>'Sources and Uses Budget'!S30</f>
        <v>12101100</v>
      </c>
      <c r="F29" s="582">
        <f t="shared" ref="F29:F36" si="1">+E29</f>
        <v>12101100</v>
      </c>
      <c r="G29" s="582"/>
      <c r="H29" s="581">
        <f>'Sources and Uses Budget'!T30</f>
        <v>0</v>
      </c>
      <c r="I29" s="582"/>
      <c r="J29" s="582"/>
      <c r="K29" s="576"/>
    </row>
    <row r="30" spans="1:11" s="251" customFormat="1">
      <c r="A30" s="237" t="s">
        <v>912</v>
      </c>
      <c r="B30" s="581">
        <f>'Sources and Uses Budget'!C31</f>
        <v>726066</v>
      </c>
      <c r="C30" s="582">
        <f t="shared" si="0"/>
        <v>726066</v>
      </c>
      <c r="D30" s="582"/>
      <c r="E30" s="581">
        <f>'Sources and Uses Budget'!S31</f>
        <v>726066</v>
      </c>
      <c r="F30" s="582">
        <f t="shared" si="1"/>
        <v>726066</v>
      </c>
      <c r="G30" s="582"/>
      <c r="H30" s="581">
        <f>'Sources and Uses Budget'!T31</f>
        <v>0</v>
      </c>
      <c r="I30" s="582"/>
      <c r="J30" s="582"/>
      <c r="K30" s="576"/>
    </row>
    <row r="31" spans="1:11" s="251" customFormat="1">
      <c r="A31" s="237" t="s">
        <v>913</v>
      </c>
      <c r="B31" s="581">
        <f>'Sources and Uses Budget'!C32</f>
        <v>256543</v>
      </c>
      <c r="C31" s="582">
        <f t="shared" si="0"/>
        <v>256543</v>
      </c>
      <c r="D31" s="582"/>
      <c r="E31" s="581">
        <f>'Sources and Uses Budget'!S32</f>
        <v>256543</v>
      </c>
      <c r="F31" s="582">
        <f t="shared" si="1"/>
        <v>256543</v>
      </c>
      <c r="G31" s="582"/>
      <c r="H31" s="581">
        <f>'Sources and Uses Budget'!T32</f>
        <v>0</v>
      </c>
      <c r="I31" s="582"/>
      <c r="J31" s="582"/>
      <c r="K31" s="576"/>
    </row>
    <row r="32" spans="1:11" s="251" customFormat="1">
      <c r="A32" s="237" t="s">
        <v>914</v>
      </c>
      <c r="B32" s="581">
        <f>'Sources and Uses Budget'!C33</f>
        <v>769630</v>
      </c>
      <c r="C32" s="582">
        <f t="shared" si="0"/>
        <v>769630</v>
      </c>
      <c r="D32" s="582"/>
      <c r="E32" s="581">
        <f>'Sources and Uses Budget'!S33</f>
        <v>769630</v>
      </c>
      <c r="F32" s="582">
        <f t="shared" si="1"/>
        <v>769630</v>
      </c>
      <c r="G32" s="582"/>
      <c r="H32" s="581">
        <f>'Sources and Uses Budget'!T33</f>
        <v>0</v>
      </c>
      <c r="I32" s="582"/>
      <c r="J32" s="582"/>
      <c r="K32" s="576"/>
    </row>
    <row r="33" spans="1:11" s="251" customFormat="1">
      <c r="A33" s="237" t="s">
        <v>915</v>
      </c>
      <c r="B33" s="581">
        <f>'Sources and Uses Budget'!C34</f>
        <v>0</v>
      </c>
      <c r="C33" s="582">
        <f t="shared" si="0"/>
        <v>0</v>
      </c>
      <c r="D33" s="582"/>
      <c r="E33" s="581">
        <f>'Sources and Uses Budget'!S34</f>
        <v>0</v>
      </c>
      <c r="F33" s="582">
        <f t="shared" si="1"/>
        <v>0</v>
      </c>
      <c r="G33" s="582"/>
      <c r="H33" s="581">
        <f>'Sources and Uses Budget'!T34</f>
        <v>0</v>
      </c>
      <c r="I33" s="582"/>
      <c r="J33" s="582"/>
      <c r="K33" s="576"/>
    </row>
    <row r="34" spans="1:11" s="251" customFormat="1">
      <c r="A34" s="237" t="s">
        <v>916</v>
      </c>
      <c r="B34" s="581">
        <f>'Sources and Uses Budget'!C35</f>
        <v>415600</v>
      </c>
      <c r="C34" s="582">
        <f t="shared" si="0"/>
        <v>415600</v>
      </c>
      <c r="D34" s="582"/>
      <c r="E34" s="581">
        <f>'Sources and Uses Budget'!S35</f>
        <v>415600</v>
      </c>
      <c r="F34" s="582">
        <f t="shared" si="1"/>
        <v>415600</v>
      </c>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f t="shared" si="0"/>
        <v>0</v>
      </c>
      <c r="D35" s="582"/>
      <c r="E35" s="581">
        <f>'Sources and Uses Budget'!S36</f>
        <v>0</v>
      </c>
      <c r="F35" s="582">
        <f t="shared" si="1"/>
        <v>0</v>
      </c>
      <c r="G35" s="582"/>
      <c r="H35" s="581">
        <f>'Sources and Uses Budget'!T36</f>
        <v>0</v>
      </c>
      <c r="I35" s="582"/>
      <c r="J35" s="582"/>
      <c r="K35" s="576"/>
    </row>
    <row r="36" spans="1:11" s="251" customFormat="1">
      <c r="A36" s="237" t="str">
        <f>'Sources and Uses Budget'!$A37</f>
        <v>IIG</v>
      </c>
      <c r="B36" s="581">
        <f>'Sources and Uses Budget'!C37</f>
        <v>2661400</v>
      </c>
      <c r="C36" s="582">
        <f t="shared" si="0"/>
        <v>2661400</v>
      </c>
      <c r="D36" s="582"/>
      <c r="E36" s="581">
        <f>'Sources and Uses Budget'!S37</f>
        <v>2661400</v>
      </c>
      <c r="F36" s="582">
        <f t="shared" si="1"/>
        <v>2661400</v>
      </c>
      <c r="G36" s="582"/>
      <c r="H36" s="581">
        <f>'Sources and Uses Budget'!T37</f>
        <v>0</v>
      </c>
      <c r="I36" s="582"/>
      <c r="J36" s="582"/>
      <c r="K36" s="576"/>
    </row>
    <row r="37" spans="1:11" s="251" customFormat="1">
      <c r="A37" s="241" t="s">
        <v>919</v>
      </c>
      <c r="B37" s="581">
        <f>'Sources and Uses Budget'!C38</f>
        <v>16930339</v>
      </c>
      <c r="C37" s="581">
        <f>SUM(C28:C36)</f>
        <v>16930339</v>
      </c>
      <c r="D37" s="581">
        <f>SUM(D28:D36)</f>
        <v>0</v>
      </c>
      <c r="E37" s="581">
        <f>'Sources and Uses Budget'!S38</f>
        <v>16930339</v>
      </c>
      <c r="F37" s="584">
        <f>SUM(F28:F36)</f>
        <v>16930339</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800000</v>
      </c>
      <c r="C39" s="582">
        <f t="shared" ref="C39:C40" si="2">+B39</f>
        <v>800000</v>
      </c>
      <c r="D39" s="582"/>
      <c r="E39" s="581">
        <f>'Sources and Uses Budget'!S40</f>
        <v>800000</v>
      </c>
      <c r="F39" s="582">
        <f t="shared" ref="F39:F40" si="3">+E39</f>
        <v>800000</v>
      </c>
      <c r="G39" s="582"/>
      <c r="H39" s="581">
        <f>'Sources and Uses Budget'!T40</f>
        <v>0</v>
      </c>
      <c r="I39" s="582"/>
      <c r="J39" s="582"/>
      <c r="K39" s="576"/>
    </row>
    <row r="40" spans="1:11" s="251" customFormat="1">
      <c r="A40" s="237" t="s">
        <v>922</v>
      </c>
      <c r="B40" s="581">
        <f>'Sources and Uses Budget'!C41</f>
        <v>0</v>
      </c>
      <c r="C40" s="582">
        <f t="shared" si="2"/>
        <v>0</v>
      </c>
      <c r="D40" s="582"/>
      <c r="E40" s="581">
        <f>'Sources and Uses Budget'!S41</f>
        <v>0</v>
      </c>
      <c r="F40" s="582">
        <f t="shared" si="3"/>
        <v>0</v>
      </c>
      <c r="G40" s="582"/>
      <c r="H40" s="581">
        <f>'Sources and Uses Budget'!T41</f>
        <v>0</v>
      </c>
      <c r="I40" s="582"/>
      <c r="J40" s="582"/>
      <c r="K40" s="576"/>
    </row>
    <row r="41" spans="1:11" s="251" customFormat="1">
      <c r="A41" s="241" t="s">
        <v>923</v>
      </c>
      <c r="B41" s="581">
        <f>'Sources and Uses Budget'!C42</f>
        <v>800000</v>
      </c>
      <c r="C41" s="581">
        <f>SUM(C38:C40)</f>
        <v>800000</v>
      </c>
      <c r="D41" s="581">
        <f>SUM(D38:D40)</f>
        <v>0</v>
      </c>
      <c r="E41" s="581">
        <f>'Sources and Uses Budget'!S42</f>
        <v>800000</v>
      </c>
      <c r="F41" s="584">
        <f>SUM(F39:F40)</f>
        <v>800000</v>
      </c>
      <c r="G41" s="584">
        <f>SUM(G39:G40)</f>
        <v>0</v>
      </c>
      <c r="H41" s="581">
        <f>'Sources and Uses Budget'!T42</f>
        <v>0</v>
      </c>
      <c r="I41" s="584">
        <f>SUM(I39:I40)</f>
        <v>0</v>
      </c>
      <c r="J41" s="584">
        <f>SUM(J39:J40)</f>
        <v>0</v>
      </c>
      <c r="K41" s="576"/>
    </row>
    <row r="42" spans="1:11" s="251" customFormat="1">
      <c r="A42" s="241" t="s">
        <v>924</v>
      </c>
      <c r="B42" s="581">
        <f>'Sources and Uses Budget'!C43</f>
        <v>100000</v>
      </c>
      <c r="C42" s="582">
        <f>+B42</f>
        <v>100000</v>
      </c>
      <c r="D42" s="582"/>
      <c r="E42" s="581">
        <f>'Sources and Uses Budget'!S43</f>
        <v>100000</v>
      </c>
      <c r="F42" s="582">
        <f>+E42</f>
        <v>100000</v>
      </c>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1392228</v>
      </c>
      <c r="C44" s="582">
        <f t="shared" ref="C44:C51" si="4">+B44</f>
        <v>1392228</v>
      </c>
      <c r="D44" s="582"/>
      <c r="E44" s="581">
        <f>'Sources and Uses Budget'!S45</f>
        <v>1392228</v>
      </c>
      <c r="F44" s="582">
        <f t="shared" ref="F44:F51" si="5">+E44</f>
        <v>1392228</v>
      </c>
      <c r="G44" s="582"/>
      <c r="H44" s="581">
        <f>'Sources and Uses Budget'!T45</f>
        <v>0</v>
      </c>
      <c r="I44" s="582"/>
      <c r="J44" s="582"/>
      <c r="K44" s="576"/>
    </row>
    <row r="45" spans="1:11" s="251" customFormat="1">
      <c r="A45" s="237" t="s">
        <v>927</v>
      </c>
      <c r="B45" s="581">
        <f>'Sources and Uses Budget'!C46</f>
        <v>287173</v>
      </c>
      <c r="C45" s="582">
        <f t="shared" si="4"/>
        <v>287173</v>
      </c>
      <c r="D45" s="582"/>
      <c r="E45" s="581">
        <f>'Sources and Uses Budget'!S46</f>
        <v>287173</v>
      </c>
      <c r="F45" s="582">
        <f t="shared" si="5"/>
        <v>287173</v>
      </c>
      <c r="G45" s="582"/>
      <c r="H45" s="581">
        <f>'Sources and Uses Budget'!T46</f>
        <v>0</v>
      </c>
      <c r="I45" s="582"/>
      <c r="J45" s="582"/>
      <c r="K45" s="576"/>
    </row>
    <row r="46" spans="1:11" s="251" customFormat="1" ht="12" customHeight="1">
      <c r="A46" s="237" t="s">
        <v>928</v>
      </c>
      <c r="B46" s="581">
        <f>'Sources and Uses Budget'!C47</f>
        <v>35000</v>
      </c>
      <c r="C46" s="582">
        <f t="shared" si="4"/>
        <v>35000</v>
      </c>
      <c r="D46" s="582"/>
      <c r="E46" s="581">
        <f>'Sources and Uses Budget'!S47</f>
        <v>35000</v>
      </c>
      <c r="F46" s="582">
        <f t="shared" si="5"/>
        <v>35000</v>
      </c>
      <c r="G46" s="582"/>
      <c r="H46" s="581">
        <f>'Sources and Uses Budget'!T47</f>
        <v>0</v>
      </c>
      <c r="I46" s="582"/>
      <c r="J46" s="582"/>
      <c r="K46" s="576"/>
    </row>
    <row r="47" spans="1:11" s="251" customFormat="1">
      <c r="A47" s="237" t="s">
        <v>929</v>
      </c>
      <c r="B47" s="581">
        <f>'Sources and Uses Budget'!C48</f>
        <v>0</v>
      </c>
      <c r="C47" s="582">
        <f t="shared" si="4"/>
        <v>0</v>
      </c>
      <c r="D47" s="582"/>
      <c r="E47" s="581">
        <f>'Sources and Uses Budget'!S48</f>
        <v>0</v>
      </c>
      <c r="F47" s="582">
        <f t="shared" si="5"/>
        <v>0</v>
      </c>
      <c r="G47" s="582"/>
      <c r="H47" s="581">
        <f>'Sources and Uses Budget'!T48</f>
        <v>0</v>
      </c>
      <c r="I47" s="582"/>
      <c r="J47" s="582"/>
      <c r="K47" s="576"/>
    </row>
    <row r="48" spans="1:11" s="251" customFormat="1">
      <c r="A48" s="237" t="s">
        <v>932</v>
      </c>
      <c r="B48" s="581">
        <f>'Sources and Uses Budget'!C49</f>
        <v>40000</v>
      </c>
      <c r="C48" s="582">
        <f t="shared" si="4"/>
        <v>40000</v>
      </c>
      <c r="D48" s="582"/>
      <c r="E48" s="581">
        <f>'Sources and Uses Budget'!S49</f>
        <v>40000</v>
      </c>
      <c r="F48" s="582">
        <f t="shared" si="5"/>
        <v>40000</v>
      </c>
      <c r="G48" s="582"/>
      <c r="H48" s="581">
        <f>'Sources and Uses Budget'!T49</f>
        <v>0</v>
      </c>
      <c r="I48" s="582"/>
      <c r="J48" s="582"/>
      <c r="K48" s="576"/>
    </row>
    <row r="49" spans="1:11" s="251" customFormat="1">
      <c r="A49" s="237" t="s">
        <v>930</v>
      </c>
      <c r="B49" s="581">
        <f>'Sources and Uses Budget'!C50</f>
        <v>84000</v>
      </c>
      <c r="C49" s="582">
        <f t="shared" si="4"/>
        <v>84000</v>
      </c>
      <c r="D49" s="582"/>
      <c r="E49" s="581">
        <f>'Sources and Uses Budget'!S50</f>
        <v>84000</v>
      </c>
      <c r="F49" s="582">
        <f t="shared" si="5"/>
        <v>84000</v>
      </c>
      <c r="G49" s="582"/>
      <c r="H49" s="581">
        <f>'Sources and Uses Budget'!T50</f>
        <v>0</v>
      </c>
      <c r="I49" s="582"/>
      <c r="J49" s="582"/>
      <c r="K49" s="576"/>
    </row>
    <row r="50" spans="1:11" s="251" customFormat="1">
      <c r="A50" s="237" t="s">
        <v>931</v>
      </c>
      <c r="B50" s="581">
        <f>'Sources and Uses Budget'!C51</f>
        <v>0</v>
      </c>
      <c r="C50" s="582">
        <f t="shared" si="4"/>
        <v>0</v>
      </c>
      <c r="D50" s="582"/>
      <c r="E50" s="581">
        <f>'Sources and Uses Budget'!S51</f>
        <v>0</v>
      </c>
      <c r="F50" s="582">
        <f t="shared" si="5"/>
        <v>0</v>
      </c>
      <c r="G50" s="582"/>
      <c r="H50" s="581">
        <f>'Sources and Uses Budget'!T51</f>
        <v>0</v>
      </c>
      <c r="I50" s="582"/>
      <c r="J50" s="582"/>
      <c r="K50" s="576"/>
    </row>
    <row r="51" spans="1:11" s="251" customFormat="1">
      <c r="A51" s="237" t="str">
        <f>'Sources and Uses Budget'!$A52</f>
        <v>Inspection Fees</v>
      </c>
      <c r="B51" s="581">
        <f>'Sources and Uses Budget'!C52</f>
        <v>20000</v>
      </c>
      <c r="C51" s="582">
        <f t="shared" si="4"/>
        <v>20000</v>
      </c>
      <c r="D51" s="582"/>
      <c r="E51" s="581">
        <f>'Sources and Uses Budget'!S52</f>
        <v>20000</v>
      </c>
      <c r="F51" s="582">
        <f t="shared" si="5"/>
        <v>20000</v>
      </c>
      <c r="G51" s="582"/>
      <c r="H51" s="581">
        <f>'Sources and Uses Budget'!T52</f>
        <v>0</v>
      </c>
      <c r="I51" s="582"/>
      <c r="J51" s="582"/>
      <c r="K51" s="576"/>
    </row>
    <row r="52" spans="1:11" s="574" customFormat="1">
      <c r="A52" s="241" t="s">
        <v>933</v>
      </c>
      <c r="B52" s="581">
        <f>'Sources and Uses Budget'!C53</f>
        <v>1858401</v>
      </c>
      <c r="C52" s="584">
        <f>SUM(C44:C51)</f>
        <v>1858401</v>
      </c>
      <c r="D52" s="584">
        <f>SUM(D44:D51)</f>
        <v>0</v>
      </c>
      <c r="E52" s="581">
        <f>'Sources and Uses Budget'!S53</f>
        <v>1858401</v>
      </c>
      <c r="F52" s="584">
        <f>SUM(F44:F51)</f>
        <v>1858401</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f t="shared" ref="C54:C59" si="6">+B54</f>
        <v>0</v>
      </c>
      <c r="D54" s="582"/>
      <c r="E54" s="583"/>
      <c r="F54" s="583"/>
      <c r="G54" s="583"/>
      <c r="H54" s="583"/>
      <c r="I54" s="583"/>
      <c r="J54" s="583"/>
      <c r="K54" s="576"/>
    </row>
    <row r="55" spans="1:11" s="251" customFormat="1" ht="12" customHeight="1">
      <c r="A55" s="237" t="s">
        <v>928</v>
      </c>
      <c r="B55" s="581">
        <f>'Sources and Uses Budget'!C56</f>
        <v>10000</v>
      </c>
      <c r="C55" s="582">
        <f t="shared" si="6"/>
        <v>10000</v>
      </c>
      <c r="D55" s="582"/>
      <c r="E55" s="583"/>
      <c r="F55" s="583"/>
      <c r="G55" s="583"/>
      <c r="H55" s="583"/>
      <c r="I55" s="583"/>
      <c r="J55" s="583"/>
      <c r="K55" s="576"/>
    </row>
    <row r="56" spans="1:11" s="251" customFormat="1">
      <c r="A56" s="237" t="s">
        <v>932</v>
      </c>
      <c r="B56" s="581">
        <f>'Sources and Uses Budget'!C57</f>
        <v>5000</v>
      </c>
      <c r="C56" s="582">
        <f t="shared" si="6"/>
        <v>5000</v>
      </c>
      <c r="D56" s="582"/>
      <c r="E56" s="583"/>
      <c r="F56" s="583"/>
      <c r="G56" s="583"/>
      <c r="H56" s="583"/>
      <c r="I56" s="583"/>
      <c r="J56" s="583"/>
      <c r="K56" s="576"/>
    </row>
    <row r="57" spans="1:11" s="251" customFormat="1">
      <c r="A57" s="237" t="s">
        <v>930</v>
      </c>
      <c r="B57" s="581">
        <f>'Sources and Uses Budget'!C58</f>
        <v>0</v>
      </c>
      <c r="C57" s="582">
        <f t="shared" si="6"/>
        <v>0</v>
      </c>
      <c r="D57" s="582"/>
      <c r="E57" s="583"/>
      <c r="F57" s="583"/>
      <c r="G57" s="583"/>
      <c r="H57" s="583"/>
      <c r="I57" s="583"/>
      <c r="J57" s="583"/>
      <c r="K57" s="576"/>
    </row>
    <row r="58" spans="1:11" s="251" customFormat="1">
      <c r="A58" s="237" t="s">
        <v>931</v>
      </c>
      <c r="B58" s="581">
        <f>'Sources and Uses Budget'!C59</f>
        <v>0</v>
      </c>
      <c r="C58" s="582">
        <f t="shared" si="6"/>
        <v>0</v>
      </c>
      <c r="D58" s="582"/>
      <c r="E58" s="583"/>
      <c r="F58" s="583"/>
      <c r="G58" s="583"/>
      <c r="H58" s="583"/>
      <c r="I58" s="583"/>
      <c r="J58" s="583"/>
      <c r="K58" s="576"/>
    </row>
    <row r="59" spans="1:11" s="251" customFormat="1">
      <c r="A59" s="237" t="str">
        <f>'Sources and Uses Budget'!$A60</f>
        <v>Other: (Specify)</v>
      </c>
      <c r="B59" s="581">
        <f>'Sources and Uses Budget'!C60</f>
        <v>0</v>
      </c>
      <c r="C59" s="582">
        <f t="shared" si="6"/>
        <v>0</v>
      </c>
      <c r="D59" s="582"/>
      <c r="E59" s="583"/>
      <c r="F59" s="583"/>
      <c r="G59" s="583"/>
      <c r="H59" s="583"/>
      <c r="I59" s="583"/>
      <c r="J59" s="583"/>
      <c r="K59" s="576"/>
    </row>
    <row r="60" spans="1:11" s="251" customFormat="1" ht="13.9" customHeight="1">
      <c r="A60" s="241" t="s">
        <v>500</v>
      </c>
      <c r="B60" s="581">
        <f>'Sources and Uses Budget'!C61</f>
        <v>15000</v>
      </c>
      <c r="C60" s="581">
        <f>SUM(C54:C59)</f>
        <v>15000</v>
      </c>
      <c r="D60" s="581">
        <f>SUM(D54:D59)</f>
        <v>0</v>
      </c>
      <c r="E60" s="583"/>
      <c r="F60" s="583"/>
      <c r="G60" s="583"/>
      <c r="H60" s="583"/>
      <c r="I60" s="583"/>
      <c r="J60" s="583"/>
      <c r="K60" s="576"/>
    </row>
    <row r="61" spans="1:11" s="251" customFormat="1">
      <c r="A61" s="247" t="s">
        <v>501</v>
      </c>
      <c r="B61" s="581">
        <f>'Sources and Uses Budget'!C62</f>
        <v>23903740</v>
      </c>
      <c r="C61" s="581">
        <f>SUM(C8+C11+C13+C14+C15+C25+C26+C37+C41+C42+C52+C60)</f>
        <v>23903740</v>
      </c>
      <c r="D61" s="581">
        <f>SUM(D8+D11+D13+D14+D15+D25+D26+D37+D41+D42+D52+D60)</f>
        <v>0</v>
      </c>
      <c r="E61" s="581">
        <f>'Sources and Uses Budget'!S62</f>
        <v>19688740</v>
      </c>
      <c r="F61" s="581">
        <f>SUM(F10+F13+F14+F15+F25+F26+F37+F41+F42+F52)</f>
        <v>19688740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65000</v>
      </c>
      <c r="C63" s="582">
        <f t="shared" ref="C63:C67" si="7">+B63</f>
        <v>65000</v>
      </c>
      <c r="D63" s="582"/>
      <c r="E63" s="581">
        <f>'Sources and Uses Budget'!S64</f>
        <v>65000</v>
      </c>
      <c r="F63" s="582">
        <f t="shared" ref="F63:F67" si="8">+E63</f>
        <v>65000</v>
      </c>
      <c r="G63" s="582"/>
      <c r="H63" s="581">
        <f>'Sources and Uses Budget'!T64</f>
        <v>0</v>
      </c>
      <c r="I63" s="582"/>
      <c r="J63" s="582"/>
      <c r="K63" s="576"/>
    </row>
    <row r="64" spans="1:11" s="251" customFormat="1" ht="24">
      <c r="A64" s="237" t="s">
        <v>1942</v>
      </c>
      <c r="B64" s="581">
        <f>'Sources and Uses Budget'!C65</f>
        <v>0</v>
      </c>
      <c r="C64" s="582">
        <f t="shared" si="7"/>
        <v>0</v>
      </c>
      <c r="D64" s="582"/>
      <c r="E64" s="581">
        <f>'Sources and Uses Budget'!S65</f>
        <v>0</v>
      </c>
      <c r="F64" s="582">
        <f t="shared" si="8"/>
        <v>0</v>
      </c>
      <c r="G64" s="582"/>
      <c r="H64" s="581">
        <f>'Sources and Uses Budget'!T65</f>
        <v>0</v>
      </c>
      <c r="I64" s="582"/>
      <c r="J64" s="582"/>
      <c r="K64" s="576"/>
    </row>
    <row r="65" spans="1:11" s="251" customFormat="1" ht="24">
      <c r="A65" s="237" t="s">
        <v>1943</v>
      </c>
      <c r="B65" s="581">
        <f>'Sources and Uses Budget'!C66</f>
        <v>0</v>
      </c>
      <c r="C65" s="582">
        <f t="shared" si="7"/>
        <v>0</v>
      </c>
      <c r="D65" s="582"/>
      <c r="E65" s="581">
        <f>'Sources and Uses Budget'!S66</f>
        <v>0</v>
      </c>
      <c r="F65" s="582">
        <f t="shared" si="8"/>
        <v>0</v>
      </c>
      <c r="G65" s="582"/>
      <c r="H65" s="581">
        <f>'Sources and Uses Budget'!T66</f>
        <v>0</v>
      </c>
      <c r="I65" s="582"/>
      <c r="J65" s="582"/>
      <c r="K65" s="576"/>
    </row>
    <row r="66" spans="1:11" s="251" customFormat="1">
      <c r="A66" s="237" t="s">
        <v>1944</v>
      </c>
      <c r="B66" s="581">
        <f>'Sources and Uses Budget'!C67</f>
        <v>0</v>
      </c>
      <c r="C66" s="582">
        <f t="shared" si="7"/>
        <v>0</v>
      </c>
      <c r="D66" s="582"/>
      <c r="E66" s="581">
        <f>'Sources and Uses Budget'!S67</f>
        <v>0</v>
      </c>
      <c r="F66" s="582">
        <f t="shared" si="8"/>
        <v>0</v>
      </c>
      <c r="G66" s="582"/>
      <c r="H66" s="581">
        <f>'Sources and Uses Budget'!T67</f>
        <v>0</v>
      </c>
      <c r="I66" s="582"/>
      <c r="J66" s="582"/>
      <c r="K66" s="576"/>
    </row>
    <row r="67" spans="1:11" s="251" customFormat="1">
      <c r="A67" s="237" t="str">
        <f>'Sources and Uses Budget'!$A68</f>
        <v>Borrower's Attorney</v>
      </c>
      <c r="B67" s="581">
        <f>'Sources and Uses Budget'!C68</f>
        <v>50000</v>
      </c>
      <c r="C67" s="582">
        <f t="shared" si="7"/>
        <v>50000</v>
      </c>
      <c r="D67" s="582"/>
      <c r="E67" s="581">
        <f>'Sources and Uses Budget'!S68</f>
        <v>50000</v>
      </c>
      <c r="F67" s="582">
        <f t="shared" si="8"/>
        <v>50000</v>
      </c>
      <c r="G67" s="582"/>
      <c r="H67" s="581">
        <f>'Sources and Uses Budget'!T68</f>
        <v>0</v>
      </c>
      <c r="I67" s="582"/>
      <c r="J67" s="582"/>
      <c r="K67" s="576"/>
    </row>
    <row r="68" spans="1:11" s="251" customFormat="1">
      <c r="A68" s="241" t="s">
        <v>1945</v>
      </c>
      <c r="B68" s="581">
        <f>'Sources and Uses Budget'!C69</f>
        <v>115000</v>
      </c>
      <c r="C68" s="581">
        <f>SUM(C62:C67)</f>
        <v>115000</v>
      </c>
      <c r="D68" s="581">
        <f>SUM(D62:D67)</f>
        <v>0</v>
      </c>
      <c r="E68" s="581">
        <f>'Sources and Uses Budget'!S69</f>
        <v>115000</v>
      </c>
      <c r="F68" s="584">
        <f>SUM(F63:F67)</f>
        <v>115000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30000</v>
      </c>
      <c r="C70" s="582">
        <f t="shared" ref="C70:C74" si="9">+B70</f>
        <v>30000</v>
      </c>
      <c r="D70" s="582"/>
      <c r="E70" s="583"/>
      <c r="F70" s="583"/>
      <c r="G70" s="583"/>
      <c r="H70" s="583"/>
      <c r="I70" s="583"/>
      <c r="J70" s="583"/>
      <c r="K70" s="576"/>
    </row>
    <row r="71" spans="1:11" s="251" customFormat="1">
      <c r="A71" s="237" t="s">
        <v>287</v>
      </c>
      <c r="B71" s="581">
        <f>'Sources and Uses Budget'!C72</f>
        <v>0</v>
      </c>
      <c r="C71" s="582">
        <f t="shared" si="9"/>
        <v>0</v>
      </c>
      <c r="D71" s="582"/>
      <c r="E71" s="583"/>
      <c r="F71" s="583"/>
      <c r="G71" s="583"/>
      <c r="H71" s="583"/>
      <c r="I71" s="583"/>
      <c r="J71" s="583"/>
      <c r="K71" s="576"/>
    </row>
    <row r="72" spans="1:11" s="251" customFormat="1">
      <c r="A72" s="453" t="s">
        <v>1239</v>
      </c>
      <c r="B72" s="581">
        <f>'Sources and Uses Budget'!C73</f>
        <v>0</v>
      </c>
      <c r="C72" s="582">
        <f t="shared" si="9"/>
        <v>0</v>
      </c>
      <c r="D72" s="582"/>
      <c r="E72" s="583"/>
      <c r="F72" s="583"/>
      <c r="G72" s="583"/>
      <c r="H72" s="583"/>
      <c r="I72" s="583"/>
      <c r="J72" s="583"/>
      <c r="K72" s="576"/>
    </row>
    <row r="73" spans="1:11" s="251" customFormat="1">
      <c r="A73" s="237" t="s">
        <v>288</v>
      </c>
      <c r="B73" s="581">
        <f>'Sources and Uses Budget'!C74</f>
        <v>169784</v>
      </c>
      <c r="C73" s="582">
        <f t="shared" si="9"/>
        <v>169784</v>
      </c>
      <c r="D73" s="582"/>
      <c r="E73" s="583"/>
      <c r="F73" s="583"/>
      <c r="G73" s="583"/>
      <c r="H73" s="583"/>
      <c r="I73" s="583"/>
      <c r="J73" s="583"/>
      <c r="K73" s="576"/>
    </row>
    <row r="74" spans="1:11" s="251" customFormat="1">
      <c r="A74" s="237" t="str">
        <f>'Sources and Uses Budget'!$A75</f>
        <v>Other: (Specify)</v>
      </c>
      <c r="B74" s="581">
        <f>'Sources and Uses Budget'!C75</f>
        <v>0</v>
      </c>
      <c r="C74" s="582">
        <f t="shared" si="9"/>
        <v>0</v>
      </c>
      <c r="D74" s="582"/>
      <c r="E74" s="583"/>
      <c r="F74" s="583"/>
      <c r="G74" s="583"/>
      <c r="H74" s="583"/>
      <c r="I74" s="583"/>
      <c r="J74" s="583"/>
      <c r="K74" s="576"/>
    </row>
    <row r="75" spans="1:11" s="251" customFormat="1">
      <c r="A75" s="241" t="s">
        <v>289</v>
      </c>
      <c r="B75" s="581">
        <f>'Sources and Uses Budget'!C76</f>
        <v>199784</v>
      </c>
      <c r="C75" s="581">
        <f>SUM(C70:C74)</f>
        <v>199784</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846517</v>
      </c>
      <c r="C77" s="582">
        <f t="shared" ref="C77:C78" si="10">+B77</f>
        <v>846517</v>
      </c>
      <c r="D77" s="582"/>
      <c r="E77" s="581">
        <f>'Sources and Uses Budget'!S78</f>
        <v>846517</v>
      </c>
      <c r="F77" s="582">
        <f t="shared" ref="F77:F78" si="11">+E77</f>
        <v>846517</v>
      </c>
      <c r="G77" s="582"/>
      <c r="H77" s="581">
        <f>'Sources and Uses Budget'!T78</f>
        <v>0</v>
      </c>
      <c r="I77" s="582"/>
      <c r="J77" s="582"/>
      <c r="K77" s="576"/>
    </row>
    <row r="78" spans="1:11" s="251" customFormat="1">
      <c r="A78" s="237" t="s">
        <v>538</v>
      </c>
      <c r="B78" s="581">
        <f>'Sources and Uses Budget'!C79</f>
        <v>196956</v>
      </c>
      <c r="C78" s="582">
        <f t="shared" si="10"/>
        <v>196956</v>
      </c>
      <c r="D78" s="582"/>
      <c r="E78" s="581">
        <f>'Sources and Uses Budget'!S79</f>
        <v>196956</v>
      </c>
      <c r="F78" s="582">
        <f t="shared" si="11"/>
        <v>196956</v>
      </c>
      <c r="G78" s="582"/>
      <c r="H78" s="581">
        <f>'Sources and Uses Budget'!T79</f>
        <v>0</v>
      </c>
      <c r="I78" s="582"/>
      <c r="J78" s="582"/>
      <c r="K78" s="576"/>
    </row>
    <row r="79" spans="1:11" s="251" customFormat="1">
      <c r="A79" s="241" t="s">
        <v>1734</v>
      </c>
      <c r="B79" s="581">
        <f>'Sources and Uses Budget'!C80</f>
        <v>1043473</v>
      </c>
      <c r="C79" s="664">
        <f>SUM(C77:C78)</f>
        <v>1043473</v>
      </c>
      <c r="D79" s="664">
        <f>SUM(D77:D78)</f>
        <v>0</v>
      </c>
      <c r="E79" s="581">
        <f>'Sources and Uses Budget'!S80</f>
        <v>1043473</v>
      </c>
      <c r="F79" s="664">
        <f>SUM(F77:F78)</f>
        <v>1043473</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107468</v>
      </c>
      <c r="C81" s="582">
        <f t="shared" ref="C81:C93" si="12">+B81</f>
        <v>107468</v>
      </c>
      <c r="D81" s="582"/>
      <c r="E81" s="583"/>
      <c r="F81" s="583"/>
      <c r="G81" s="583"/>
      <c r="H81" s="583"/>
      <c r="I81" s="583"/>
      <c r="J81" s="583"/>
      <c r="K81" s="576"/>
    </row>
    <row r="82" spans="1:11" s="251" customFormat="1">
      <c r="A82" s="237" t="s">
        <v>516</v>
      </c>
      <c r="B82" s="581">
        <f>'Sources and Uses Budget'!C83</f>
        <v>7000</v>
      </c>
      <c r="C82" s="582">
        <f t="shared" si="12"/>
        <v>7000</v>
      </c>
      <c r="D82" s="582"/>
      <c r="E82" s="581">
        <f>'Sources and Uses Budget'!S83</f>
        <v>7000</v>
      </c>
      <c r="F82" s="582">
        <f t="shared" ref="F82:F85" si="13">+E82</f>
        <v>7000</v>
      </c>
      <c r="G82" s="582"/>
      <c r="H82" s="581">
        <f>'Sources and Uses Budget'!T83</f>
        <v>0</v>
      </c>
      <c r="I82" s="582"/>
      <c r="J82" s="582"/>
      <c r="K82" s="576"/>
    </row>
    <row r="83" spans="1:11" s="251" customFormat="1">
      <c r="A83" s="237" t="s">
        <v>517</v>
      </c>
      <c r="B83" s="581">
        <f>'Sources and Uses Budget'!C84</f>
        <v>1504272</v>
      </c>
      <c r="C83" s="582">
        <f t="shared" si="12"/>
        <v>1504272</v>
      </c>
      <c r="D83" s="582"/>
      <c r="E83" s="581">
        <f>'Sources and Uses Budget'!S84</f>
        <v>1504272</v>
      </c>
      <c r="F83" s="582">
        <f t="shared" si="13"/>
        <v>1504272</v>
      </c>
      <c r="G83" s="582"/>
      <c r="H83" s="581">
        <f>'Sources and Uses Budget'!T84</f>
        <v>0</v>
      </c>
      <c r="I83" s="582"/>
      <c r="J83" s="582"/>
      <c r="K83" s="576"/>
    </row>
    <row r="84" spans="1:11" s="251" customFormat="1">
      <c r="A84" s="237" t="s">
        <v>518</v>
      </c>
      <c r="B84" s="581">
        <f>'Sources and Uses Budget'!C85</f>
        <v>800000</v>
      </c>
      <c r="C84" s="582">
        <f t="shared" si="12"/>
        <v>800000</v>
      </c>
      <c r="D84" s="582"/>
      <c r="E84" s="581">
        <f>'Sources and Uses Budget'!S85</f>
        <v>800000</v>
      </c>
      <c r="F84" s="582">
        <f t="shared" si="13"/>
        <v>800000</v>
      </c>
      <c r="G84" s="582"/>
      <c r="H84" s="581">
        <f>'Sources and Uses Budget'!T85</f>
        <v>0</v>
      </c>
      <c r="I84" s="582"/>
      <c r="J84" s="582"/>
      <c r="K84" s="576"/>
    </row>
    <row r="85" spans="1:11" s="251" customFormat="1">
      <c r="A85" s="237" t="s">
        <v>519</v>
      </c>
      <c r="B85" s="581">
        <f>'Sources and Uses Budget'!C86</f>
        <v>0</v>
      </c>
      <c r="C85" s="582">
        <f t="shared" si="12"/>
        <v>0</v>
      </c>
      <c r="D85" s="582"/>
      <c r="E85" s="581">
        <f>'Sources and Uses Budget'!S86</f>
        <v>0</v>
      </c>
      <c r="F85" s="582">
        <f t="shared" si="13"/>
        <v>0</v>
      </c>
      <c r="G85" s="582"/>
      <c r="H85" s="581">
        <f>'Sources and Uses Budget'!T86</f>
        <v>0</v>
      </c>
      <c r="I85" s="582"/>
      <c r="J85" s="582"/>
      <c r="K85" s="576"/>
    </row>
    <row r="86" spans="1:11" s="251" customFormat="1">
      <c r="A86" s="237" t="s">
        <v>520</v>
      </c>
      <c r="B86" s="581">
        <f>'Sources and Uses Budget'!C87</f>
        <v>30750</v>
      </c>
      <c r="C86" s="582">
        <f t="shared" si="12"/>
        <v>30750</v>
      </c>
      <c r="D86" s="582"/>
      <c r="E86" s="583"/>
      <c r="F86" s="583"/>
      <c r="G86" s="583"/>
      <c r="H86" s="583"/>
      <c r="I86" s="583"/>
      <c r="J86" s="583"/>
      <c r="K86" s="576"/>
    </row>
    <row r="87" spans="1:11" s="251" customFormat="1">
      <c r="A87" s="237" t="s">
        <v>521</v>
      </c>
      <c r="B87" s="581">
        <f>'Sources and Uses Budget'!C88</f>
        <v>40000</v>
      </c>
      <c r="C87" s="582">
        <f t="shared" si="12"/>
        <v>40000</v>
      </c>
      <c r="D87" s="582"/>
      <c r="E87" s="581">
        <f>'Sources and Uses Budget'!S88</f>
        <v>40000</v>
      </c>
      <c r="F87" s="582">
        <f t="shared" ref="F87:F93" si="14">+E87</f>
        <v>40000</v>
      </c>
      <c r="G87" s="582"/>
      <c r="H87" s="581">
        <f>'Sources and Uses Budget'!T88</f>
        <v>0</v>
      </c>
      <c r="I87" s="582"/>
      <c r="J87" s="582"/>
      <c r="K87" s="576"/>
    </row>
    <row r="88" spans="1:11" s="251" customFormat="1">
      <c r="A88" s="237" t="s">
        <v>522</v>
      </c>
      <c r="B88" s="581">
        <f>'Sources and Uses Budget'!C89</f>
        <v>10000</v>
      </c>
      <c r="C88" s="582">
        <f t="shared" si="12"/>
        <v>10000</v>
      </c>
      <c r="D88" s="582"/>
      <c r="E88" s="581">
        <f>'Sources and Uses Budget'!S89</f>
        <v>10000</v>
      </c>
      <c r="F88" s="582">
        <f t="shared" si="14"/>
        <v>10000</v>
      </c>
      <c r="G88" s="582"/>
      <c r="H88" s="581">
        <f>'Sources and Uses Budget'!T89</f>
        <v>0</v>
      </c>
      <c r="I88" s="582"/>
      <c r="J88" s="582"/>
      <c r="K88" s="576"/>
    </row>
    <row r="89" spans="1:11" s="251" customFormat="1">
      <c r="A89" s="237" t="s">
        <v>1315</v>
      </c>
      <c r="B89" s="581">
        <f>'Sources and Uses Budget'!C90</f>
        <v>45000</v>
      </c>
      <c r="C89" s="582">
        <f t="shared" si="12"/>
        <v>45000</v>
      </c>
      <c r="D89" s="582"/>
      <c r="E89" s="581">
        <f>'Sources and Uses Budget'!S90</f>
        <v>45000</v>
      </c>
      <c r="F89" s="582">
        <f t="shared" si="14"/>
        <v>45000</v>
      </c>
      <c r="G89" s="582"/>
      <c r="H89" s="581">
        <f>'Sources and Uses Budget'!T90</f>
        <v>0</v>
      </c>
      <c r="I89" s="582"/>
      <c r="J89" s="582"/>
      <c r="K89" s="576"/>
    </row>
    <row r="90" spans="1:11" s="251" customFormat="1">
      <c r="A90" s="237" t="s">
        <v>1732</v>
      </c>
      <c r="B90" s="581">
        <f>'Sources and Uses Budget'!C91</f>
        <v>7500</v>
      </c>
      <c r="C90" s="582">
        <f t="shared" si="12"/>
        <v>7500</v>
      </c>
      <c r="D90" s="582"/>
      <c r="E90" s="581">
        <f>'Sources and Uses Budget'!S91</f>
        <v>7500</v>
      </c>
      <c r="F90" s="582">
        <f t="shared" si="14"/>
        <v>7500</v>
      </c>
      <c r="G90" s="582"/>
      <c r="H90" s="581">
        <f>'Sources and Uses Budget'!T91</f>
        <v>0</v>
      </c>
      <c r="I90" s="582"/>
      <c r="J90" s="582"/>
      <c r="K90" s="576"/>
    </row>
    <row r="91" spans="1:11" s="251" customFormat="1">
      <c r="A91" s="237" t="str">
        <f>'Sources and Uses Budget'!$A92</f>
        <v>Other: (Specify)</v>
      </c>
      <c r="B91" s="581">
        <f>'Sources and Uses Budget'!C92</f>
        <v>0</v>
      </c>
      <c r="C91" s="582">
        <f t="shared" si="12"/>
        <v>0</v>
      </c>
      <c r="D91" s="582"/>
      <c r="E91" s="581">
        <f>'Sources and Uses Budget'!S92</f>
        <v>0</v>
      </c>
      <c r="F91" s="582">
        <f t="shared" si="14"/>
        <v>0</v>
      </c>
      <c r="G91" s="582"/>
      <c r="H91" s="581">
        <f>'Sources and Uses Budget'!T92</f>
        <v>0</v>
      </c>
      <c r="I91" s="582"/>
      <c r="J91" s="582"/>
      <c r="K91" s="576"/>
    </row>
    <row r="92" spans="1:11" s="251" customFormat="1">
      <c r="A92" s="237" t="str">
        <f>'Sources and Uses Budget'!$A93</f>
        <v>Other: (Specify)</v>
      </c>
      <c r="B92" s="581">
        <f>'Sources and Uses Budget'!C93</f>
        <v>0</v>
      </c>
      <c r="C92" s="582">
        <f t="shared" si="12"/>
        <v>0</v>
      </c>
      <c r="D92" s="582"/>
      <c r="E92" s="581">
        <f>'Sources and Uses Budget'!S93</f>
        <v>0</v>
      </c>
      <c r="F92" s="582">
        <f t="shared" si="14"/>
        <v>0</v>
      </c>
      <c r="G92" s="582"/>
      <c r="H92" s="581">
        <f>'Sources and Uses Budget'!T93</f>
        <v>0</v>
      </c>
      <c r="I92" s="582"/>
      <c r="J92" s="582"/>
      <c r="K92" s="576"/>
    </row>
    <row r="93" spans="1:11" s="251" customFormat="1">
      <c r="A93" s="237" t="str">
        <f>'Sources and Uses Budget'!$A94</f>
        <v>Other: (Specify)</v>
      </c>
      <c r="B93" s="581">
        <f>'Sources and Uses Budget'!C94</f>
        <v>0</v>
      </c>
      <c r="C93" s="582">
        <f t="shared" si="12"/>
        <v>0</v>
      </c>
      <c r="D93" s="582"/>
      <c r="E93" s="581">
        <f>'Sources and Uses Budget'!S94</f>
        <v>0</v>
      </c>
      <c r="F93" s="582">
        <f t="shared" si="14"/>
        <v>0</v>
      </c>
      <c r="G93" s="582"/>
      <c r="H93" s="581">
        <f>'Sources and Uses Budget'!T94</f>
        <v>0</v>
      </c>
      <c r="I93" s="582"/>
      <c r="J93" s="582"/>
      <c r="K93" s="576"/>
    </row>
    <row r="94" spans="1:11" s="251" customFormat="1">
      <c r="A94" s="241" t="s">
        <v>523</v>
      </c>
      <c r="B94" s="581">
        <f>'Sources and Uses Budget'!C95</f>
        <v>2551990</v>
      </c>
      <c r="C94" s="581">
        <f>SUM(C81:C93)</f>
        <v>2551990</v>
      </c>
      <c r="D94" s="581">
        <f>SUM(D81:D93)</f>
        <v>0</v>
      </c>
      <c r="E94" s="581">
        <f>'Sources and Uses Budget'!S95</f>
        <v>2413772</v>
      </c>
      <c r="F94" s="584">
        <f>SUM(F82:F85,F87:F93)</f>
        <v>2413772</v>
      </c>
      <c r="G94" s="584">
        <f>SUM(G82:G85,G87:G93)</f>
        <v>0</v>
      </c>
      <c r="H94" s="581">
        <f>'Sources and Uses Budget'!T95</f>
        <v>0</v>
      </c>
      <c r="I94" s="581">
        <f>SUM(I82:I85,I87:I93)</f>
        <v>0</v>
      </c>
      <c r="J94" s="581">
        <f>SUM(J82:J85,J87:J93)</f>
        <v>0</v>
      </c>
      <c r="K94" s="576"/>
    </row>
    <row r="95" spans="1:11" s="251" customFormat="1">
      <c r="A95" s="241" t="s">
        <v>1355</v>
      </c>
      <c r="B95" s="581">
        <f>'Sources and Uses Budget'!C96</f>
        <v>27813987</v>
      </c>
      <c r="C95" s="581">
        <f>SUM(C61+C68+C75+C79+C94)</f>
        <v>27813987</v>
      </c>
      <c r="D95" s="581">
        <f>SUM(D61+D68+D75+D79+D94)</f>
        <v>0</v>
      </c>
      <c r="E95" s="581">
        <f>'Sources and Uses Budget'!S96</f>
        <v>23260985</v>
      </c>
      <c r="F95" s="584">
        <f>SUM(+F61+F68+F79+F94)</f>
        <v>23260985</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f>+B97</f>
        <v>2500000</v>
      </c>
      <c r="D97" s="582"/>
      <c r="E97" s="581">
        <f>'Sources and Uses Budget'!S98</f>
        <v>2500000</v>
      </c>
      <c r="F97" s="582">
        <f>+E97</f>
        <v>2500000</v>
      </c>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2500000</v>
      </c>
      <c r="D102" s="581">
        <f>SUM(D97:D101)</f>
        <v>0</v>
      </c>
      <c r="E102" s="581">
        <f>'Sources and Uses Budget'!S103</f>
        <v>2500000</v>
      </c>
      <c r="F102" s="584">
        <f>SUM(F97:F101)</f>
        <v>2500000</v>
      </c>
      <c r="G102" s="584">
        <f>SUM(G97:G101)</f>
        <v>0</v>
      </c>
      <c r="H102" s="581">
        <f>'Sources and Uses Budget'!T103</f>
        <v>0</v>
      </c>
      <c r="I102" s="584">
        <f>SUM(I97:I101)</f>
        <v>0</v>
      </c>
      <c r="J102" s="584">
        <f>SUM(J97:J101)</f>
        <v>0</v>
      </c>
      <c r="K102" s="576"/>
    </row>
    <row r="103" spans="1:11" s="251" customFormat="1">
      <c r="A103" s="241" t="s">
        <v>1356</v>
      </c>
      <c r="B103" s="581">
        <f>'Sources and Uses Budget'!C104</f>
        <v>30313987</v>
      </c>
      <c r="C103" s="584">
        <f>SUM(C95+C102)</f>
        <v>30313987</v>
      </c>
      <c r="D103" s="584">
        <f>SUM(D95+D102)</f>
        <v>0</v>
      </c>
      <c r="E103" s="581">
        <f>'Sources and Uses Budget'!S104</f>
        <v>25760985</v>
      </c>
      <c r="F103" s="584">
        <f>F95+F102</f>
        <v>25760985</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25760985</v>
      </c>
      <c r="F105" s="584">
        <f>F103+F104</f>
        <v>25760985</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46" workbookViewId="0">
      <selection activeCell="AC571" sqref="AC571:AD57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70" t="s">
        <v>846</v>
      </c>
      <c r="B1" s="1670"/>
      <c r="C1" s="1670"/>
      <c r="D1" s="1670"/>
      <c r="E1" s="1670"/>
      <c r="F1" s="1670"/>
      <c r="G1" s="1670"/>
      <c r="H1" s="1670"/>
      <c r="I1" s="1670"/>
      <c r="J1" s="1670"/>
      <c r="K1" s="1670"/>
      <c r="L1" s="1670"/>
      <c r="M1" s="1670"/>
      <c r="N1" s="1670"/>
      <c r="O1" s="1670"/>
      <c r="P1" s="1670"/>
      <c r="Q1" s="1670"/>
      <c r="R1" s="1670"/>
      <c r="S1" s="1670"/>
      <c r="T1" s="1670"/>
      <c r="U1" s="1670"/>
      <c r="V1" s="1670"/>
      <c r="W1" s="1670"/>
      <c r="X1" s="1670"/>
      <c r="Y1" s="1670"/>
      <c r="Z1" s="1670"/>
      <c r="AA1" s="1670"/>
      <c r="AB1" s="1670"/>
      <c r="AC1" s="1670"/>
      <c r="AD1" s="1670"/>
      <c r="AE1" s="1670"/>
      <c r="AF1" s="1670"/>
      <c r="AG1" s="1670"/>
      <c r="AH1" s="1670"/>
      <c r="AI1" s="1670"/>
      <c r="AJ1" s="1670"/>
      <c r="AK1" s="1670"/>
      <c r="AL1" s="1670"/>
      <c r="AM1" s="1670"/>
    </row>
    <row r="2" spans="1:43" s="5" customFormat="1" ht="12.75" customHeight="1" thickBot="1">
      <c r="A2" s="1671"/>
      <c r="B2" s="1671"/>
      <c r="C2" s="1671"/>
      <c r="D2" s="1671"/>
      <c r="E2" s="1671"/>
      <c r="F2" s="1671"/>
      <c r="G2" s="1671"/>
      <c r="H2" s="1671"/>
      <c r="I2" s="1671"/>
      <c r="J2" s="1671"/>
      <c r="K2" s="1671"/>
      <c r="L2" s="1671"/>
      <c r="M2" s="1671"/>
      <c r="N2" s="1671"/>
      <c r="O2" s="1671"/>
      <c r="P2" s="1671"/>
      <c r="Q2" s="1671"/>
      <c r="R2" s="1671"/>
      <c r="S2" s="1671"/>
      <c r="T2" s="1671"/>
      <c r="U2" s="1671"/>
      <c r="V2" s="1671"/>
      <c r="W2" s="1671"/>
      <c r="X2" s="1671"/>
      <c r="Y2" s="1671"/>
      <c r="Z2" s="1671"/>
      <c r="AA2" s="1671"/>
      <c r="AB2" s="1671"/>
      <c r="AC2" s="1671"/>
      <c r="AD2" s="1671"/>
      <c r="AE2" s="1671"/>
      <c r="AF2" s="1671"/>
      <c r="AG2" s="1671"/>
      <c r="AH2" s="1671"/>
      <c r="AI2" s="1671"/>
      <c r="AJ2" s="1671"/>
      <c r="AK2" s="1671"/>
      <c r="AL2" s="1671"/>
      <c r="AM2" s="1671"/>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54" t="s">
        <v>364</v>
      </c>
      <c r="AF4" s="1754"/>
      <c r="AG4" s="1754"/>
      <c r="AH4" s="1754"/>
      <c r="AI4" s="1754"/>
      <c r="AJ4" s="1754"/>
      <c r="AK4" s="1754"/>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31" t="s">
        <v>854</v>
      </c>
      <c r="AG6" s="1731"/>
      <c r="AH6" s="1731"/>
      <c r="AI6" s="1731"/>
      <c r="AJ6" s="1731"/>
      <c r="AK6" s="1731"/>
      <c r="AL6" s="1731"/>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855" t="s">
        <v>2357</v>
      </c>
      <c r="C8" s="1855"/>
      <c r="D8" s="1855"/>
      <c r="E8" s="1855"/>
      <c r="F8" s="1855"/>
      <c r="G8" s="1855"/>
      <c r="H8" s="1855"/>
      <c r="I8" s="1855"/>
      <c r="J8" s="1855"/>
      <c r="K8" s="1855"/>
      <c r="L8" s="1855"/>
      <c r="M8" s="1855"/>
      <c r="N8" s="1855"/>
      <c r="O8" s="1855"/>
      <c r="P8" s="1855"/>
      <c r="Q8" s="1855"/>
      <c r="R8" s="1855"/>
      <c r="S8" s="1855"/>
      <c r="T8" s="1855"/>
      <c r="U8" s="1855"/>
      <c r="V8" s="1855"/>
      <c r="W8" s="1855"/>
      <c r="X8" s="1855"/>
      <c r="Y8" s="1855"/>
      <c r="Z8" s="1855"/>
      <c r="AA8" s="1855"/>
      <c r="AB8" s="1855"/>
      <c r="AC8" s="1855"/>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855" t="s">
        <v>1243</v>
      </c>
      <c r="C11" s="1855"/>
      <c r="D11" s="1855"/>
      <c r="E11" s="1855"/>
      <c r="F11" s="1855"/>
      <c r="G11" s="1855"/>
      <c r="H11" s="1855"/>
      <c r="I11" s="1855"/>
      <c r="J11" s="1855"/>
      <c r="K11" s="1855"/>
      <c r="L11" s="1855"/>
      <c r="M11" s="1855"/>
      <c r="N11" s="1855"/>
      <c r="O11" s="1855"/>
      <c r="P11" s="1855"/>
      <c r="Q11" s="1855"/>
      <c r="R11" s="1855"/>
      <c r="S11" s="1855"/>
      <c r="T11" s="1855"/>
      <c r="U11" s="1855"/>
      <c r="V11" s="1855"/>
      <c r="W11" s="1855"/>
      <c r="X11" s="1855"/>
      <c r="Y11" s="1855"/>
      <c r="Z11" s="1855"/>
      <c r="AA11" s="1855"/>
      <c r="AB11" s="1855"/>
      <c r="AC11" s="1855"/>
      <c r="AD11" s="1855"/>
      <c r="AE11" s="1855"/>
      <c r="AF11" s="1855"/>
      <c r="AG11" s="1855"/>
      <c r="AH11" s="1855"/>
      <c r="AI11" s="1855"/>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56" t="s">
        <v>124</v>
      </c>
      <c r="AC13" s="1856"/>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855" t="s">
        <v>1119</v>
      </c>
      <c r="C16" s="1855"/>
      <c r="D16" s="1855"/>
      <c r="E16" s="1855"/>
      <c r="F16" s="1855"/>
      <c r="G16" s="1855"/>
      <c r="H16" s="1855"/>
      <c r="I16" s="1855"/>
      <c r="J16" s="1855"/>
      <c r="K16" s="1855"/>
      <c r="L16" s="1855"/>
      <c r="M16" s="1855"/>
      <c r="N16" s="1855"/>
      <c r="O16" s="1855"/>
      <c r="P16" s="1855"/>
      <c r="Q16" s="1855"/>
      <c r="R16" s="1855"/>
      <c r="S16" s="1855"/>
      <c r="T16" s="1855"/>
      <c r="U16" s="1855"/>
      <c r="V16" s="1855"/>
      <c r="W16" s="1855"/>
      <c r="X16" s="1855"/>
      <c r="Y16" s="1855"/>
      <c r="Z16" s="1855"/>
      <c r="AA16" s="1855"/>
      <c r="AB16" s="1855"/>
      <c r="AC16" s="1855"/>
      <c r="AD16" s="1855"/>
      <c r="AE16" s="1855"/>
      <c r="AF16" s="1855"/>
      <c r="AG16" s="1855"/>
      <c r="AH16" s="1855"/>
      <c r="AI16" s="1855"/>
      <c r="AJ16" s="1855"/>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98" t="s">
        <v>2192</v>
      </c>
      <c r="C20" s="1698"/>
      <c r="D20" s="1698"/>
      <c r="E20" s="1698"/>
      <c r="F20" s="1698"/>
      <c r="G20" s="1698"/>
      <c r="H20" s="1698"/>
      <c r="I20" s="1698"/>
      <c r="J20" s="1698"/>
      <c r="K20" s="1698"/>
      <c r="L20" s="1698"/>
      <c r="M20" s="1698"/>
      <c r="N20" s="1698"/>
      <c r="O20" s="1698"/>
      <c r="P20" s="1698"/>
      <c r="Q20" s="1698"/>
      <c r="R20" s="1698"/>
      <c r="S20" s="1698"/>
      <c r="T20" s="1698"/>
      <c r="U20" s="1698"/>
      <c r="V20" s="1698"/>
      <c r="W20" s="1698"/>
      <c r="X20" s="1698"/>
      <c r="Y20" s="1698"/>
      <c r="Z20" s="1698"/>
      <c r="AA20" s="1698"/>
      <c r="AB20" s="1698"/>
      <c r="AC20" s="1698"/>
      <c r="AD20" s="1698"/>
      <c r="AE20" s="1698"/>
      <c r="AF20" s="1698"/>
      <c r="AG20" s="1698"/>
      <c r="AH20" s="1698"/>
      <c r="AI20" s="1698"/>
      <c r="AJ20" s="1698"/>
      <c r="AK20" s="1698"/>
      <c r="AL20" s="101"/>
      <c r="AM20" s="27"/>
      <c r="AN20" s="667"/>
    </row>
    <row r="21" spans="1:42" s="5" customFormat="1" ht="12.75" customHeight="1">
      <c r="A21" s="27"/>
      <c r="B21" s="1698"/>
      <c r="C21" s="1698"/>
      <c r="D21" s="1698"/>
      <c r="E21" s="1698"/>
      <c r="F21" s="1698"/>
      <c r="G21" s="1698"/>
      <c r="H21" s="1698"/>
      <c r="I21" s="1698"/>
      <c r="J21" s="1698"/>
      <c r="K21" s="1698"/>
      <c r="L21" s="1698"/>
      <c r="M21" s="1698"/>
      <c r="N21" s="1698"/>
      <c r="O21" s="1698"/>
      <c r="P21" s="1698"/>
      <c r="Q21" s="1698"/>
      <c r="R21" s="1698"/>
      <c r="S21" s="1698"/>
      <c r="T21" s="1698"/>
      <c r="U21" s="1698"/>
      <c r="V21" s="1698"/>
      <c r="W21" s="1698"/>
      <c r="X21" s="1698"/>
      <c r="Y21" s="1698"/>
      <c r="Z21" s="1698"/>
      <c r="AA21" s="1698"/>
      <c r="AB21" s="1698"/>
      <c r="AC21" s="1698"/>
      <c r="AD21" s="1698"/>
      <c r="AE21" s="1698"/>
      <c r="AF21" s="1698"/>
      <c r="AG21" s="1698"/>
      <c r="AH21" s="1698"/>
      <c r="AI21" s="1698"/>
      <c r="AJ21" s="1698"/>
      <c r="AK21" s="1698"/>
      <c r="AL21" s="101"/>
      <c r="AM21" s="27"/>
      <c r="AN21" s="667"/>
      <c r="AP21" s="338"/>
    </row>
    <row r="22" spans="1:42" s="5" customFormat="1" ht="12.75" customHeight="1">
      <c r="A22" s="27"/>
      <c r="B22" s="1698"/>
      <c r="C22" s="1698"/>
      <c r="D22" s="1698"/>
      <c r="E22" s="1698"/>
      <c r="F22" s="1698"/>
      <c r="G22" s="1698"/>
      <c r="H22" s="1698"/>
      <c r="I22" s="1698"/>
      <c r="J22" s="1698"/>
      <c r="K22" s="1698"/>
      <c r="L22" s="1698"/>
      <c r="M22" s="1698"/>
      <c r="N22" s="1698"/>
      <c r="O22" s="1698"/>
      <c r="P22" s="1698"/>
      <c r="Q22" s="1698"/>
      <c r="R22" s="1698"/>
      <c r="S22" s="1698"/>
      <c r="T22" s="1698"/>
      <c r="U22" s="1698"/>
      <c r="V22" s="1698"/>
      <c r="W22" s="1698"/>
      <c r="X22" s="1698"/>
      <c r="Y22" s="1698"/>
      <c r="Z22" s="1698"/>
      <c r="AA22" s="1698"/>
      <c r="AB22" s="1698"/>
      <c r="AC22" s="1698"/>
      <c r="AD22" s="1698"/>
      <c r="AE22" s="1698"/>
      <c r="AF22" s="1698"/>
      <c r="AG22" s="1698"/>
      <c r="AH22" s="1698"/>
      <c r="AI22" s="1698"/>
      <c r="AJ22" s="1698"/>
      <c r="AK22" s="1698"/>
      <c r="AL22" s="101"/>
      <c r="AM22" s="27"/>
      <c r="AN22" s="667"/>
    </row>
    <row r="23" spans="1:42" s="4" customFormat="1" ht="12.75" customHeight="1">
      <c r="A23" s="27"/>
      <c r="B23" s="1698"/>
      <c r="C23" s="1698"/>
      <c r="D23" s="1698"/>
      <c r="E23" s="1698"/>
      <c r="F23" s="1698"/>
      <c r="G23" s="1698"/>
      <c r="H23" s="1698"/>
      <c r="I23" s="1698"/>
      <c r="J23" s="1698"/>
      <c r="K23" s="1698"/>
      <c r="L23" s="1698"/>
      <c r="M23" s="1698"/>
      <c r="N23" s="1698"/>
      <c r="O23" s="1698"/>
      <c r="P23" s="1698"/>
      <c r="Q23" s="1698"/>
      <c r="R23" s="1698"/>
      <c r="S23" s="1698"/>
      <c r="T23" s="1698"/>
      <c r="U23" s="1698"/>
      <c r="V23" s="1698"/>
      <c r="W23" s="1698"/>
      <c r="X23" s="1698"/>
      <c r="Y23" s="1698"/>
      <c r="Z23" s="1698"/>
      <c r="AA23" s="1698"/>
      <c r="AB23" s="1698"/>
      <c r="AC23" s="1698"/>
      <c r="AD23" s="1698"/>
      <c r="AE23" s="1698"/>
      <c r="AF23" s="1698"/>
      <c r="AG23" s="1698"/>
      <c r="AH23" s="1698"/>
      <c r="AI23" s="1698"/>
      <c r="AJ23" s="1698"/>
      <c r="AK23" s="1698"/>
      <c r="AL23" s="101"/>
      <c r="AM23" s="27"/>
      <c r="AN23" s="279"/>
    </row>
    <row r="24" spans="1:42" s="4" customFormat="1" ht="12.75" customHeight="1">
      <c r="A24" s="27"/>
      <c r="B24" s="1698"/>
      <c r="C24" s="1698"/>
      <c r="D24" s="1698"/>
      <c r="E24" s="1698"/>
      <c r="F24" s="1698"/>
      <c r="G24" s="1698"/>
      <c r="H24" s="1698"/>
      <c r="I24" s="1698"/>
      <c r="J24" s="1698"/>
      <c r="K24" s="1698"/>
      <c r="L24" s="1698"/>
      <c r="M24" s="1698"/>
      <c r="N24" s="1698"/>
      <c r="O24" s="1698"/>
      <c r="P24" s="1698"/>
      <c r="Q24" s="1698"/>
      <c r="R24" s="1698"/>
      <c r="S24" s="1698"/>
      <c r="T24" s="1698"/>
      <c r="U24" s="1698"/>
      <c r="V24" s="1698"/>
      <c r="W24" s="1698"/>
      <c r="X24" s="1698"/>
      <c r="Y24" s="1698"/>
      <c r="Z24" s="1698"/>
      <c r="AA24" s="1698"/>
      <c r="AB24" s="1698"/>
      <c r="AC24" s="1698"/>
      <c r="AD24" s="1698"/>
      <c r="AE24" s="1698"/>
      <c r="AF24" s="1698"/>
      <c r="AG24" s="1698"/>
      <c r="AH24" s="1698"/>
      <c r="AI24" s="1698"/>
      <c r="AJ24" s="1698"/>
      <c r="AK24" s="1698"/>
      <c r="AL24" s="101"/>
      <c r="AM24" s="27"/>
      <c r="AN24" s="669"/>
      <c r="AO24" s="91"/>
    </row>
    <row r="25" spans="1:42" s="4" customFormat="1" ht="12.75" customHeight="1">
      <c r="A25" s="27"/>
      <c r="B25" s="1698"/>
      <c r="C25" s="1698"/>
      <c r="D25" s="1698"/>
      <c r="E25" s="1698"/>
      <c r="F25" s="1698"/>
      <c r="G25" s="1698"/>
      <c r="H25" s="1698"/>
      <c r="I25" s="1698"/>
      <c r="J25" s="1698"/>
      <c r="K25" s="1698"/>
      <c r="L25" s="1698"/>
      <c r="M25" s="1698"/>
      <c r="N25" s="1698"/>
      <c r="O25" s="1698"/>
      <c r="P25" s="1698"/>
      <c r="Q25" s="1698"/>
      <c r="R25" s="1698"/>
      <c r="S25" s="1698"/>
      <c r="T25" s="1698"/>
      <c r="U25" s="1698"/>
      <c r="V25" s="1698"/>
      <c r="W25" s="1698"/>
      <c r="X25" s="1698"/>
      <c r="Y25" s="1698"/>
      <c r="Z25" s="1698"/>
      <c r="AA25" s="1698"/>
      <c r="AB25" s="1698"/>
      <c r="AC25" s="1698"/>
      <c r="AD25" s="1698"/>
      <c r="AE25" s="1698"/>
      <c r="AF25" s="1698"/>
      <c r="AG25" s="1698"/>
      <c r="AH25" s="1698"/>
      <c r="AI25" s="1698"/>
      <c r="AJ25" s="1698"/>
      <c r="AK25" s="1698"/>
      <c r="AL25" s="101"/>
      <c r="AM25" s="27"/>
      <c r="AN25" s="669"/>
    </row>
    <row r="26" spans="1:42" s="4" customFormat="1" ht="12.75" customHeight="1">
      <c r="A26" s="27"/>
      <c r="B26" s="1698"/>
      <c r="C26" s="1698"/>
      <c r="D26" s="1698"/>
      <c r="E26" s="1698"/>
      <c r="F26" s="1698"/>
      <c r="G26" s="1698"/>
      <c r="H26" s="1698"/>
      <c r="I26" s="1698"/>
      <c r="J26" s="1698"/>
      <c r="K26" s="1698"/>
      <c r="L26" s="1698"/>
      <c r="M26" s="1698"/>
      <c r="N26" s="1698"/>
      <c r="O26" s="1698"/>
      <c r="P26" s="1698"/>
      <c r="Q26" s="1698"/>
      <c r="R26" s="1698"/>
      <c r="S26" s="1698"/>
      <c r="T26" s="1698"/>
      <c r="U26" s="1698"/>
      <c r="V26" s="1698"/>
      <c r="W26" s="1698"/>
      <c r="X26" s="1698"/>
      <c r="Y26" s="1698"/>
      <c r="Z26" s="1698"/>
      <c r="AA26" s="1698"/>
      <c r="AB26" s="1698"/>
      <c r="AC26" s="1698"/>
      <c r="AD26" s="1698"/>
      <c r="AE26" s="1698"/>
      <c r="AF26" s="1698"/>
      <c r="AG26" s="1698"/>
      <c r="AH26" s="1698"/>
      <c r="AI26" s="1698"/>
      <c r="AJ26" s="1698"/>
      <c r="AK26" s="1698"/>
      <c r="AL26" s="101"/>
      <c r="AM26" s="27"/>
      <c r="AN26" s="279"/>
    </row>
    <row r="27" spans="1:42" s="4" customFormat="1" ht="12.75" customHeight="1">
      <c r="A27" s="27"/>
      <c r="B27" s="1698"/>
      <c r="C27" s="1698"/>
      <c r="D27" s="1698"/>
      <c r="E27" s="1698"/>
      <c r="F27" s="1698"/>
      <c r="G27" s="1698"/>
      <c r="H27" s="1698"/>
      <c r="I27" s="1698"/>
      <c r="J27" s="1698"/>
      <c r="K27" s="1698"/>
      <c r="L27" s="1698"/>
      <c r="M27" s="1698"/>
      <c r="N27" s="1698"/>
      <c r="O27" s="1698"/>
      <c r="P27" s="1698"/>
      <c r="Q27" s="1698"/>
      <c r="R27" s="1698"/>
      <c r="S27" s="1698"/>
      <c r="T27" s="1698"/>
      <c r="U27" s="1698"/>
      <c r="V27" s="1698"/>
      <c r="W27" s="1698"/>
      <c r="X27" s="1698"/>
      <c r="Y27" s="1698"/>
      <c r="Z27" s="1698"/>
      <c r="AA27" s="1698"/>
      <c r="AB27" s="1698"/>
      <c r="AC27" s="1698"/>
      <c r="AD27" s="1698"/>
      <c r="AE27" s="1698"/>
      <c r="AF27" s="1698"/>
      <c r="AG27" s="1698"/>
      <c r="AH27" s="1698"/>
      <c r="AI27" s="1698"/>
      <c r="AJ27" s="1698"/>
      <c r="AK27" s="1698"/>
      <c r="AL27" s="101"/>
      <c r="AM27" s="27"/>
      <c r="AN27" s="611"/>
    </row>
    <row r="28" spans="1:42" s="4" customFormat="1" ht="12.75" customHeight="1">
      <c r="A28" s="27"/>
      <c r="B28" s="1698"/>
      <c r="C28" s="1698"/>
      <c r="D28" s="1698"/>
      <c r="E28" s="1698"/>
      <c r="F28" s="1698"/>
      <c r="G28" s="1698"/>
      <c r="H28" s="1698"/>
      <c r="I28" s="1698"/>
      <c r="J28" s="1698"/>
      <c r="K28" s="1698"/>
      <c r="L28" s="1698"/>
      <c r="M28" s="1698"/>
      <c r="N28" s="1698"/>
      <c r="O28" s="1698"/>
      <c r="P28" s="1698"/>
      <c r="Q28" s="1698"/>
      <c r="R28" s="1698"/>
      <c r="S28" s="1698"/>
      <c r="T28" s="1698"/>
      <c r="U28" s="1698"/>
      <c r="V28" s="1698"/>
      <c r="W28" s="1698"/>
      <c r="X28" s="1698"/>
      <c r="Y28" s="1698"/>
      <c r="Z28" s="1698"/>
      <c r="AA28" s="1698"/>
      <c r="AB28" s="1698"/>
      <c r="AC28" s="1698"/>
      <c r="AD28" s="1698"/>
      <c r="AE28" s="1698"/>
      <c r="AF28" s="1698"/>
      <c r="AG28" s="1698"/>
      <c r="AH28" s="1698"/>
      <c r="AI28" s="1698"/>
      <c r="AJ28" s="1698"/>
      <c r="AK28" s="1698"/>
      <c r="AL28" s="101"/>
      <c r="AM28" s="27"/>
      <c r="AN28" s="611"/>
    </row>
    <row r="29" spans="1:42" s="4" customFormat="1" ht="31.7" customHeight="1">
      <c r="A29" s="27"/>
      <c r="B29" s="1698"/>
      <c r="C29" s="1698"/>
      <c r="D29" s="1698"/>
      <c r="E29" s="1698"/>
      <c r="F29" s="1698"/>
      <c r="G29" s="1698"/>
      <c r="H29" s="1698"/>
      <c r="I29" s="1698"/>
      <c r="J29" s="1698"/>
      <c r="K29" s="1698"/>
      <c r="L29" s="1698"/>
      <c r="M29" s="1698"/>
      <c r="N29" s="1698"/>
      <c r="O29" s="1698"/>
      <c r="P29" s="1698"/>
      <c r="Q29" s="1698"/>
      <c r="R29" s="1698"/>
      <c r="S29" s="1698"/>
      <c r="T29" s="1698"/>
      <c r="U29" s="1698"/>
      <c r="V29" s="1698"/>
      <c r="W29" s="1698"/>
      <c r="X29" s="1698"/>
      <c r="Y29" s="1698"/>
      <c r="Z29" s="1698"/>
      <c r="AA29" s="1698"/>
      <c r="AB29" s="1698"/>
      <c r="AC29" s="1698"/>
      <c r="AD29" s="1698"/>
      <c r="AE29" s="1698"/>
      <c r="AF29" s="1698"/>
      <c r="AG29" s="1698"/>
      <c r="AH29" s="1698"/>
      <c r="AI29" s="1698"/>
      <c r="AJ29" s="1698"/>
      <c r="AK29" s="1698"/>
      <c r="AL29" s="101"/>
      <c r="AM29" s="27"/>
      <c r="AN29" s="611"/>
    </row>
    <row r="30" spans="1:42" s="4" customFormat="1" ht="12.75" customHeight="1">
      <c r="A30" s="5"/>
      <c r="B30" s="1862"/>
      <c r="C30" s="1862"/>
      <c r="D30" s="1862"/>
      <c r="E30" s="1862"/>
      <c r="F30" s="1862"/>
      <c r="G30" s="1862"/>
      <c r="H30" s="1862"/>
      <c r="I30" s="1862"/>
      <c r="J30" s="1862"/>
      <c r="K30" s="1862"/>
      <c r="L30" s="1862"/>
      <c r="M30" s="1862"/>
      <c r="N30" s="1862"/>
      <c r="O30" s="1862"/>
      <c r="P30" s="1862"/>
      <c r="Q30" s="1862"/>
      <c r="R30" s="1862"/>
      <c r="S30" s="1862"/>
      <c r="T30" s="1862"/>
      <c r="U30" s="1862"/>
      <c r="V30" s="1862"/>
      <c r="W30" s="1862"/>
      <c r="X30" s="1862"/>
      <c r="Y30" s="1862"/>
      <c r="Z30" s="1862"/>
      <c r="AA30" s="1862"/>
      <c r="AB30" s="1862"/>
      <c r="AC30" s="1862"/>
      <c r="AD30" s="1862"/>
      <c r="AE30" s="1862"/>
      <c r="AF30" s="1862"/>
      <c r="AG30" s="1862"/>
      <c r="AH30" s="1862"/>
      <c r="AI30" s="1862"/>
      <c r="AJ30" s="1862"/>
      <c r="AK30" s="1862"/>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9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97"/>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31" t="s">
        <v>61</v>
      </c>
      <c r="AG33" s="1731"/>
      <c r="AH33" s="1731"/>
      <c r="AI33" s="1731"/>
      <c r="AJ33" s="1731"/>
      <c r="AK33" s="1731"/>
      <c r="AL33" s="1731"/>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61" t="str">
        <f>Application!AA329</f>
        <v>Danco Property Management</v>
      </c>
      <c r="C35" s="1861"/>
      <c r="D35" s="1861"/>
      <c r="E35" s="1861"/>
      <c r="F35" s="1861"/>
      <c r="G35" s="1861"/>
      <c r="H35" s="1861"/>
      <c r="I35" s="1861"/>
      <c r="J35" s="1861"/>
      <c r="K35" s="1861"/>
      <c r="L35" s="1861"/>
      <c r="M35" s="1861"/>
      <c r="N35" s="1861"/>
      <c r="O35" s="1861"/>
      <c r="P35" s="1861"/>
      <c r="Q35" s="1861"/>
      <c r="R35" s="1861"/>
      <c r="S35" s="1861"/>
      <c r="T35" s="1861"/>
      <c r="U35" s="1861"/>
      <c r="V35" s="1861"/>
      <c r="W35" s="1861"/>
      <c r="X35" s="1861"/>
      <c r="Y35" s="1861"/>
      <c r="Z35" s="1861"/>
      <c r="AA35" s="1861"/>
      <c r="AB35" s="1861"/>
      <c r="AC35" s="1861"/>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855" t="s">
        <v>1247</v>
      </c>
      <c r="C38" s="1855"/>
      <c r="D38" s="1855"/>
      <c r="E38" s="1855"/>
      <c r="F38" s="1855"/>
      <c r="G38" s="1855"/>
      <c r="H38" s="1855"/>
      <c r="I38" s="1855"/>
      <c r="J38" s="1855"/>
      <c r="K38" s="1855"/>
      <c r="L38" s="1855"/>
      <c r="M38" s="1855"/>
      <c r="N38" s="1855"/>
      <c r="O38" s="1855"/>
      <c r="P38" s="1855"/>
      <c r="Q38" s="1855"/>
      <c r="R38" s="1855"/>
      <c r="S38" s="1855"/>
      <c r="T38" s="1855"/>
      <c r="U38" s="1855"/>
      <c r="V38" s="1855"/>
      <c r="W38" s="1855"/>
      <c r="X38" s="1855"/>
      <c r="Y38" s="1855"/>
      <c r="Z38" s="1855"/>
      <c r="AA38" s="1855"/>
      <c r="AB38" s="1855"/>
      <c r="AC38" s="1855"/>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855" t="s">
        <v>124</v>
      </c>
      <c r="AA40" s="1855"/>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855" t="s">
        <v>1119</v>
      </c>
      <c r="C43" s="1855"/>
      <c r="D43" s="1855"/>
      <c r="E43" s="1855"/>
      <c r="F43" s="1855"/>
      <c r="G43" s="1855"/>
      <c r="H43" s="1855"/>
      <c r="I43" s="1855"/>
      <c r="J43" s="1855"/>
      <c r="K43" s="1855"/>
      <c r="L43" s="1855"/>
      <c r="M43" s="1855"/>
      <c r="N43" s="1855"/>
      <c r="O43" s="1855"/>
      <c r="P43" s="1855"/>
      <c r="Q43" s="1855"/>
      <c r="R43" s="1855"/>
      <c r="S43" s="1855"/>
      <c r="T43" s="1855"/>
      <c r="U43" s="1855"/>
      <c r="V43" s="1855"/>
      <c r="W43" s="1855"/>
      <c r="X43" s="1855"/>
      <c r="Y43" s="1855"/>
      <c r="Z43" s="1855"/>
      <c r="AA43" s="1855"/>
      <c r="AB43" s="1855"/>
      <c r="AC43" s="1855"/>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9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94"/>
      <c r="AL47" s="317"/>
      <c r="AM47" s="90"/>
      <c r="AN47" s="279"/>
    </row>
    <row r="48" spans="1:42" s="4" customFormat="1" ht="12.75" customHeight="1">
      <c r="A48" s="5"/>
      <c r="B48" s="42"/>
      <c r="R48" s="5"/>
      <c r="S48" s="42"/>
      <c r="AN48" s="279"/>
    </row>
    <row r="49" spans="1:46" s="4" customFormat="1" ht="12.75" customHeight="1">
      <c r="B49" s="1698" t="s">
        <v>1468</v>
      </c>
      <c r="C49" s="1698"/>
      <c r="D49" s="1698"/>
      <c r="E49" s="1698"/>
      <c r="F49" s="1698"/>
      <c r="G49" s="1698"/>
      <c r="H49" s="1698"/>
      <c r="I49" s="1698"/>
      <c r="J49" s="1698"/>
      <c r="K49" s="1698"/>
      <c r="L49" s="1698"/>
      <c r="M49" s="1698"/>
      <c r="N49" s="1698"/>
      <c r="O49" s="1698"/>
      <c r="P49" s="1698"/>
      <c r="Q49" s="1698"/>
      <c r="R49" s="1698"/>
      <c r="S49" s="1698"/>
      <c r="T49" s="1698"/>
      <c r="U49" s="1698"/>
      <c r="V49" s="1698"/>
      <c r="W49" s="1698"/>
      <c r="X49" s="1698"/>
      <c r="Y49" s="1698"/>
      <c r="Z49" s="1698"/>
      <c r="AA49" s="1698"/>
      <c r="AB49" s="1698"/>
      <c r="AC49" s="1698"/>
      <c r="AD49" s="1698"/>
      <c r="AE49" s="1698"/>
      <c r="AF49" s="1698"/>
      <c r="AG49" s="1698"/>
      <c r="AH49" s="1698"/>
      <c r="AI49" s="1698"/>
      <c r="AJ49" s="1698"/>
      <c r="AK49" s="1698"/>
      <c r="AL49" s="101"/>
      <c r="AM49" s="27"/>
      <c r="AN49" s="279"/>
    </row>
    <row r="50" spans="1:46" s="4" customFormat="1" ht="12.75" customHeight="1">
      <c r="A50" s="26"/>
      <c r="B50" s="1698"/>
      <c r="C50" s="1698"/>
      <c r="D50" s="1698"/>
      <c r="E50" s="1698"/>
      <c r="F50" s="1698"/>
      <c r="G50" s="1698"/>
      <c r="H50" s="1698"/>
      <c r="I50" s="1698"/>
      <c r="J50" s="1698"/>
      <c r="K50" s="1698"/>
      <c r="L50" s="1698"/>
      <c r="M50" s="1698"/>
      <c r="N50" s="1698"/>
      <c r="O50" s="1698"/>
      <c r="P50" s="1698"/>
      <c r="Q50" s="1698"/>
      <c r="R50" s="1698"/>
      <c r="S50" s="1698"/>
      <c r="T50" s="1698"/>
      <c r="U50" s="1698"/>
      <c r="V50" s="1698"/>
      <c r="W50" s="1698"/>
      <c r="X50" s="1698"/>
      <c r="Y50" s="1698"/>
      <c r="Z50" s="1698"/>
      <c r="AA50" s="1698"/>
      <c r="AB50" s="1698"/>
      <c r="AC50" s="1698"/>
      <c r="AD50" s="1698"/>
      <c r="AE50" s="1698"/>
      <c r="AF50" s="1698"/>
      <c r="AG50" s="1698"/>
      <c r="AH50" s="1698"/>
      <c r="AI50" s="1698"/>
      <c r="AJ50" s="1698"/>
      <c r="AK50" s="1698"/>
      <c r="AL50" s="101"/>
      <c r="AM50" s="27"/>
      <c r="AN50" s="279"/>
    </row>
    <row r="51" spans="1:46" s="4" customFormat="1" ht="12.75" customHeight="1">
      <c r="A51" s="26"/>
      <c r="B51" s="1698"/>
      <c r="C51" s="1698"/>
      <c r="D51" s="1698"/>
      <c r="E51" s="1698"/>
      <c r="F51" s="1698"/>
      <c r="G51" s="1698"/>
      <c r="H51" s="1698"/>
      <c r="I51" s="1698"/>
      <c r="J51" s="1698"/>
      <c r="K51" s="1698"/>
      <c r="L51" s="1698"/>
      <c r="M51" s="1698"/>
      <c r="N51" s="1698"/>
      <c r="O51" s="1698"/>
      <c r="P51" s="1698"/>
      <c r="Q51" s="1698"/>
      <c r="R51" s="1698"/>
      <c r="S51" s="1698"/>
      <c r="T51" s="1698"/>
      <c r="U51" s="1698"/>
      <c r="V51" s="1698"/>
      <c r="W51" s="1698"/>
      <c r="X51" s="1698"/>
      <c r="Y51" s="1698"/>
      <c r="Z51" s="1698"/>
      <c r="AA51" s="1698"/>
      <c r="AB51" s="1698"/>
      <c r="AC51" s="1698"/>
      <c r="AD51" s="1698"/>
      <c r="AE51" s="1698"/>
      <c r="AF51" s="1698"/>
      <c r="AG51" s="1698"/>
      <c r="AH51" s="1698"/>
      <c r="AI51" s="1698"/>
      <c r="AJ51" s="1698"/>
      <c r="AK51" s="1698"/>
      <c r="AL51" s="101"/>
      <c r="AM51" s="27"/>
      <c r="AN51" s="279"/>
    </row>
    <row r="52" spans="1:46" s="4" customFormat="1" ht="12.75" customHeight="1">
      <c r="A52" s="26"/>
      <c r="B52" s="1698"/>
      <c r="C52" s="1698"/>
      <c r="D52" s="1698"/>
      <c r="E52" s="1698"/>
      <c r="F52" s="1698"/>
      <c r="G52" s="1698"/>
      <c r="H52" s="1698"/>
      <c r="I52" s="1698"/>
      <c r="J52" s="1698"/>
      <c r="K52" s="1698"/>
      <c r="L52" s="1698"/>
      <c r="M52" s="1698"/>
      <c r="N52" s="1698"/>
      <c r="O52" s="1698"/>
      <c r="P52" s="1698"/>
      <c r="Q52" s="1698"/>
      <c r="R52" s="1698"/>
      <c r="S52" s="1698"/>
      <c r="T52" s="1698"/>
      <c r="U52" s="1698"/>
      <c r="V52" s="1698"/>
      <c r="W52" s="1698"/>
      <c r="X52" s="1698"/>
      <c r="Y52" s="1698"/>
      <c r="Z52" s="1698"/>
      <c r="AA52" s="1698"/>
      <c r="AB52" s="1698"/>
      <c r="AC52" s="1698"/>
      <c r="AD52" s="1698"/>
      <c r="AE52" s="1698"/>
      <c r="AF52" s="1698"/>
      <c r="AG52" s="1698"/>
      <c r="AH52" s="1698"/>
      <c r="AI52" s="1698"/>
      <c r="AJ52" s="1698"/>
      <c r="AK52" s="1698"/>
      <c r="AL52" s="101"/>
      <c r="AM52" s="27"/>
      <c r="AN52" s="279"/>
    </row>
    <row r="53" spans="1:46" s="4" customFormat="1" ht="12.75" customHeight="1">
      <c r="A53" s="26"/>
      <c r="B53" s="1698"/>
      <c r="C53" s="1698"/>
      <c r="D53" s="1698"/>
      <c r="E53" s="1698"/>
      <c r="F53" s="1698"/>
      <c r="G53" s="1698"/>
      <c r="H53" s="1698"/>
      <c r="I53" s="1698"/>
      <c r="J53" s="1698"/>
      <c r="K53" s="1698"/>
      <c r="L53" s="1698"/>
      <c r="M53" s="1698"/>
      <c r="N53" s="1698"/>
      <c r="O53" s="1698"/>
      <c r="P53" s="1698"/>
      <c r="Q53" s="1698"/>
      <c r="R53" s="1698"/>
      <c r="S53" s="1698"/>
      <c r="T53" s="1698"/>
      <c r="U53" s="1698"/>
      <c r="V53" s="1698"/>
      <c r="W53" s="1698"/>
      <c r="X53" s="1698"/>
      <c r="Y53" s="1698"/>
      <c r="Z53" s="1698"/>
      <c r="AA53" s="1698"/>
      <c r="AB53" s="1698"/>
      <c r="AC53" s="1698"/>
      <c r="AD53" s="1698"/>
      <c r="AE53" s="1698"/>
      <c r="AF53" s="1698"/>
      <c r="AG53" s="1698"/>
      <c r="AH53" s="1698"/>
      <c r="AI53" s="1698"/>
      <c r="AJ53" s="1698"/>
      <c r="AK53" s="1698"/>
      <c r="AL53" s="101"/>
      <c r="AM53" s="27"/>
      <c r="AN53" s="279"/>
    </row>
    <row r="54" spans="1:46" s="4" customFormat="1" ht="12.75" customHeight="1">
      <c r="A54" s="26"/>
      <c r="B54" s="1698"/>
      <c r="C54" s="1698"/>
      <c r="D54" s="1698"/>
      <c r="E54" s="1698"/>
      <c r="F54" s="1698"/>
      <c r="G54" s="1698"/>
      <c r="H54" s="1698"/>
      <c r="I54" s="1698"/>
      <c r="J54" s="1698"/>
      <c r="K54" s="1698"/>
      <c r="L54" s="1698"/>
      <c r="M54" s="1698"/>
      <c r="N54" s="1698"/>
      <c r="O54" s="1698"/>
      <c r="P54" s="1698"/>
      <c r="Q54" s="1698"/>
      <c r="R54" s="1698"/>
      <c r="S54" s="1698"/>
      <c r="T54" s="1698"/>
      <c r="U54" s="1698"/>
      <c r="V54" s="1698"/>
      <c r="W54" s="1698"/>
      <c r="X54" s="1698"/>
      <c r="Y54" s="1698"/>
      <c r="Z54" s="1698"/>
      <c r="AA54" s="1698"/>
      <c r="AB54" s="1698"/>
      <c r="AC54" s="1698"/>
      <c r="AD54" s="1698"/>
      <c r="AE54" s="1698"/>
      <c r="AF54" s="1698"/>
      <c r="AG54" s="1698"/>
      <c r="AH54" s="1698"/>
      <c r="AI54" s="1698"/>
      <c r="AJ54" s="1698"/>
      <c r="AK54" s="1698"/>
      <c r="AL54" s="101"/>
      <c r="AM54" s="27"/>
      <c r="AN54" s="279"/>
    </row>
    <row r="55" spans="1:46" s="4" customFormat="1" ht="33.4" customHeight="1">
      <c r="A55" s="26"/>
      <c r="B55" s="1698"/>
      <c r="C55" s="1698"/>
      <c r="D55" s="1698"/>
      <c r="E55" s="1698"/>
      <c r="F55" s="1698"/>
      <c r="G55" s="1698"/>
      <c r="H55" s="1698"/>
      <c r="I55" s="1698"/>
      <c r="J55" s="1698"/>
      <c r="K55" s="1698"/>
      <c r="L55" s="1698"/>
      <c r="M55" s="1698"/>
      <c r="N55" s="1698"/>
      <c r="O55" s="1698"/>
      <c r="P55" s="1698"/>
      <c r="Q55" s="1698"/>
      <c r="R55" s="1698"/>
      <c r="S55" s="1698"/>
      <c r="T55" s="1698"/>
      <c r="U55" s="1698"/>
      <c r="V55" s="1698"/>
      <c r="W55" s="1698"/>
      <c r="X55" s="1698"/>
      <c r="Y55" s="1698"/>
      <c r="Z55" s="1698"/>
      <c r="AA55" s="1698"/>
      <c r="AB55" s="1698"/>
      <c r="AC55" s="1698"/>
      <c r="AD55" s="1698"/>
      <c r="AE55" s="1698"/>
      <c r="AF55" s="1698"/>
      <c r="AG55" s="1698"/>
      <c r="AH55" s="1698"/>
      <c r="AI55" s="1698"/>
      <c r="AJ55" s="1698"/>
      <c r="AK55" s="169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8" t="s">
        <v>2185</v>
      </c>
      <c r="C57" s="1698"/>
      <c r="D57" s="1698"/>
      <c r="E57" s="1698"/>
      <c r="F57" s="1698"/>
      <c r="G57" s="1698"/>
      <c r="H57" s="1698"/>
      <c r="I57" s="1698"/>
      <c r="J57" s="1698"/>
      <c r="K57" s="1698"/>
      <c r="L57" s="1698"/>
      <c r="M57" s="1698"/>
      <c r="N57" s="1698"/>
      <c r="O57" s="1698"/>
      <c r="P57" s="1698"/>
      <c r="Q57" s="1698"/>
      <c r="R57" s="1698"/>
      <c r="S57" s="1698"/>
      <c r="T57" s="1698"/>
      <c r="U57" s="1698"/>
      <c r="V57" s="1698"/>
      <c r="W57" s="1698"/>
      <c r="X57" s="1698"/>
      <c r="Y57" s="1698"/>
      <c r="Z57" s="1698"/>
      <c r="AA57" s="1698"/>
      <c r="AB57" s="1698"/>
      <c r="AC57" s="1698"/>
      <c r="AD57" s="1698"/>
      <c r="AE57" s="1698"/>
      <c r="AF57" s="1698"/>
      <c r="AG57" s="1698"/>
      <c r="AH57" s="1698"/>
      <c r="AI57" s="1698"/>
      <c r="AJ57" s="1698"/>
      <c r="AK57" s="1698"/>
      <c r="AL57" s="101"/>
      <c r="AM57" s="27"/>
      <c r="AN57" s="279"/>
    </row>
    <row r="58" spans="1:46" s="4" customFormat="1" ht="12.75" customHeight="1">
      <c r="B58" s="1698"/>
      <c r="C58" s="1698"/>
      <c r="D58" s="1698"/>
      <c r="E58" s="1698"/>
      <c r="F58" s="1698"/>
      <c r="G58" s="1698"/>
      <c r="H58" s="1698"/>
      <c r="I58" s="1698"/>
      <c r="J58" s="1698"/>
      <c r="K58" s="1698"/>
      <c r="L58" s="1698"/>
      <c r="M58" s="1698"/>
      <c r="N58" s="1698"/>
      <c r="O58" s="1698"/>
      <c r="P58" s="1698"/>
      <c r="Q58" s="1698"/>
      <c r="R58" s="1698"/>
      <c r="S58" s="1698"/>
      <c r="T58" s="1698"/>
      <c r="U58" s="1698"/>
      <c r="V58" s="1698"/>
      <c r="W58" s="1698"/>
      <c r="X58" s="1698"/>
      <c r="Y58" s="1698"/>
      <c r="Z58" s="1698"/>
      <c r="AA58" s="1698"/>
      <c r="AB58" s="1698"/>
      <c r="AC58" s="1698"/>
      <c r="AD58" s="1698"/>
      <c r="AE58" s="1698"/>
      <c r="AF58" s="1698"/>
      <c r="AG58" s="1698"/>
      <c r="AH58" s="1698"/>
      <c r="AI58" s="1698"/>
      <c r="AJ58" s="1698"/>
      <c r="AK58" s="1698"/>
      <c r="AL58" s="101"/>
      <c r="AM58" s="27"/>
      <c r="AN58" s="279"/>
    </row>
    <row r="59" spans="1:46" s="4" customFormat="1" ht="22.9" customHeight="1">
      <c r="A59" s="423"/>
      <c r="B59" s="1698"/>
      <c r="C59" s="1698"/>
      <c r="D59" s="1698"/>
      <c r="E59" s="1698"/>
      <c r="F59" s="1698"/>
      <c r="G59" s="1698"/>
      <c r="H59" s="1698"/>
      <c r="I59" s="1698"/>
      <c r="J59" s="1698"/>
      <c r="K59" s="1698"/>
      <c r="L59" s="1698"/>
      <c r="M59" s="1698"/>
      <c r="N59" s="1698"/>
      <c r="O59" s="1698"/>
      <c r="P59" s="1698"/>
      <c r="Q59" s="1698"/>
      <c r="R59" s="1698"/>
      <c r="S59" s="1698"/>
      <c r="T59" s="1698"/>
      <c r="U59" s="1698"/>
      <c r="V59" s="1698"/>
      <c r="W59" s="1698"/>
      <c r="X59" s="1698"/>
      <c r="Y59" s="1698"/>
      <c r="Z59" s="1698"/>
      <c r="AA59" s="1698"/>
      <c r="AB59" s="1698"/>
      <c r="AC59" s="1698"/>
      <c r="AD59" s="1698"/>
      <c r="AE59" s="1698"/>
      <c r="AF59" s="1698"/>
      <c r="AG59" s="1698"/>
      <c r="AH59" s="1698"/>
      <c r="AI59" s="1698"/>
      <c r="AJ59" s="1698"/>
      <c r="AK59" s="169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63">
        <f>$AJ$31+$AJ$47</f>
        <v>10</v>
      </c>
      <c r="AL61" s="1864"/>
      <c r="AM61" s="1865"/>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54" t="s">
        <v>364</v>
      </c>
      <c r="AF64" s="1754"/>
      <c r="AG64" s="1754"/>
      <c r="AH64" s="1754"/>
      <c r="AI64" s="1754"/>
      <c r="AJ64" s="1754"/>
      <c r="AK64" s="1754"/>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855" t="s">
        <v>663</v>
      </c>
      <c r="C66" s="1855"/>
      <c r="D66" s="1855"/>
      <c r="E66" s="1855"/>
      <c r="F66" s="1855"/>
      <c r="G66" s="1855"/>
      <c r="H66" s="1855"/>
      <c r="I66" s="1855"/>
      <c r="J66" s="1855"/>
      <c r="K66" s="1855"/>
      <c r="AF66" s="1731" t="s">
        <v>938</v>
      </c>
      <c r="AG66" s="1731"/>
      <c r="AH66" s="1731"/>
      <c r="AI66" s="1731"/>
      <c r="AJ66" s="1731"/>
      <c r="AK66" s="1731"/>
      <c r="AL66" s="1731"/>
      <c r="AN66" s="279"/>
      <c r="AP66" s="4" t="s">
        <v>124</v>
      </c>
      <c r="AS66" s="4" t="s">
        <v>665</v>
      </c>
      <c r="AT66" s="4">
        <v>10</v>
      </c>
    </row>
    <row r="67" spans="1:46" s="4" customFormat="1" ht="12.75" customHeight="1">
      <c r="B67" s="1860" t="s">
        <v>1319</v>
      </c>
      <c r="C67" s="1860"/>
      <c r="D67" s="1860"/>
      <c r="E67" s="1860"/>
      <c r="F67" s="1860"/>
      <c r="G67" s="1860"/>
      <c r="H67" s="1860"/>
      <c r="I67" s="1860"/>
      <c r="J67" s="1860"/>
      <c r="K67" s="1860"/>
      <c r="L67" s="1860"/>
      <c r="M67" s="1860"/>
      <c r="N67" s="1860"/>
      <c r="O67" s="1860"/>
      <c r="P67" s="1860"/>
      <c r="Q67" s="1860"/>
      <c r="R67" s="1860"/>
      <c r="S67" s="1860"/>
      <c r="T67" s="1855" t="s">
        <v>124</v>
      </c>
      <c r="U67" s="1855"/>
      <c r="V67" s="1855"/>
      <c r="W67" s="1855"/>
      <c r="X67" s="1855"/>
      <c r="Y67" s="1855"/>
      <c r="Z67" s="1855"/>
      <c r="AA67" s="1855"/>
      <c r="AB67" s="1855"/>
      <c r="AC67" s="1855"/>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308">
        <f>VLOOKUP($B$66,$AS$64:$AU$69,2,FALSE)</f>
        <v>10</v>
      </c>
      <c r="AL68" s="1309"/>
      <c r="AM68" s="1309"/>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54" t="s">
        <v>977</v>
      </c>
      <c r="AF73" s="1754"/>
      <c r="AG73" s="1754"/>
      <c r="AH73" s="1754"/>
      <c r="AI73" s="1754"/>
      <c r="AJ73" s="1754"/>
      <c r="AK73" s="1754"/>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8" t="s">
        <v>2101</v>
      </c>
      <c r="C75" s="1698"/>
      <c r="D75" s="1698"/>
      <c r="E75" s="1698"/>
      <c r="F75" s="1698"/>
      <c r="G75" s="1698"/>
      <c r="H75" s="1698"/>
      <c r="I75" s="1698"/>
      <c r="J75" s="1698"/>
      <c r="K75" s="1698"/>
      <c r="L75" s="1698"/>
      <c r="M75" s="1698"/>
      <c r="N75" s="1698"/>
      <c r="O75" s="1698"/>
      <c r="P75" s="1698"/>
      <c r="Q75" s="1698"/>
      <c r="R75" s="1698"/>
      <c r="S75" s="1698"/>
      <c r="T75" s="1698"/>
      <c r="U75" s="1698"/>
      <c r="V75" s="1698"/>
      <c r="W75" s="1698"/>
      <c r="X75" s="1698"/>
      <c r="Y75" s="1698"/>
      <c r="Z75" s="1698"/>
      <c r="AA75" s="1698"/>
      <c r="AB75" s="1698"/>
      <c r="AC75" s="1698"/>
      <c r="AD75" s="1698"/>
      <c r="AE75" s="1698"/>
      <c r="AF75" s="1698"/>
      <c r="AG75" s="1698"/>
      <c r="AH75" s="1698"/>
      <c r="AI75" s="1698"/>
      <c r="AJ75" s="1698"/>
      <c r="AK75" s="1698"/>
      <c r="AL75" s="101"/>
      <c r="AM75" s="27"/>
      <c r="AN75" s="279"/>
    </row>
    <row r="76" spans="1:46" s="4" customFormat="1" ht="12.75" customHeight="1">
      <c r="A76" s="27"/>
      <c r="B76" s="1698"/>
      <c r="C76" s="1698"/>
      <c r="D76" s="1698"/>
      <c r="E76" s="1698"/>
      <c r="F76" s="1698"/>
      <c r="G76" s="1698"/>
      <c r="H76" s="1698"/>
      <c r="I76" s="1698"/>
      <c r="J76" s="1698"/>
      <c r="K76" s="1698"/>
      <c r="L76" s="1698"/>
      <c r="M76" s="1698"/>
      <c r="N76" s="1698"/>
      <c r="O76" s="1698"/>
      <c r="P76" s="1698"/>
      <c r="Q76" s="1698"/>
      <c r="R76" s="1698"/>
      <c r="S76" s="1698"/>
      <c r="T76" s="1698"/>
      <c r="U76" s="1698"/>
      <c r="V76" s="1698"/>
      <c r="W76" s="1698"/>
      <c r="X76" s="1698"/>
      <c r="Y76" s="1698"/>
      <c r="Z76" s="1698"/>
      <c r="AA76" s="1698"/>
      <c r="AB76" s="1698"/>
      <c r="AC76" s="1698"/>
      <c r="AD76" s="1698"/>
      <c r="AE76" s="1698"/>
      <c r="AF76" s="1698"/>
      <c r="AG76" s="1698"/>
      <c r="AH76" s="1698"/>
      <c r="AI76" s="1698"/>
      <c r="AJ76" s="1698"/>
      <c r="AK76" s="1698"/>
      <c r="AL76" s="101"/>
      <c r="AM76" s="27"/>
      <c r="AN76" s="279"/>
    </row>
    <row r="77" spans="1:46" s="4" customFormat="1" ht="12.75" customHeight="1">
      <c r="A77" s="27"/>
      <c r="B77" s="1698"/>
      <c r="C77" s="1698"/>
      <c r="D77" s="1698"/>
      <c r="E77" s="1698"/>
      <c r="F77" s="1698"/>
      <c r="G77" s="1698"/>
      <c r="H77" s="1698"/>
      <c r="I77" s="1698"/>
      <c r="J77" s="1698"/>
      <c r="K77" s="1698"/>
      <c r="L77" s="1698"/>
      <c r="M77" s="1698"/>
      <c r="N77" s="1698"/>
      <c r="O77" s="1698"/>
      <c r="P77" s="1698"/>
      <c r="Q77" s="1698"/>
      <c r="R77" s="1698"/>
      <c r="S77" s="1698"/>
      <c r="T77" s="1698"/>
      <c r="U77" s="1698"/>
      <c r="V77" s="1698"/>
      <c r="W77" s="1698"/>
      <c r="X77" s="1698"/>
      <c r="Y77" s="1698"/>
      <c r="Z77" s="1698"/>
      <c r="AA77" s="1698"/>
      <c r="AB77" s="1698"/>
      <c r="AC77" s="1698"/>
      <c r="AD77" s="1698"/>
      <c r="AE77" s="1698"/>
      <c r="AF77" s="1698"/>
      <c r="AG77" s="1698"/>
      <c r="AH77" s="1698"/>
      <c r="AI77" s="1698"/>
      <c r="AJ77" s="1698"/>
      <c r="AK77" s="1698"/>
      <c r="AL77" s="101"/>
      <c r="AM77" s="27"/>
      <c r="AN77" s="279"/>
    </row>
    <row r="78" spans="1:46" s="4" customFormat="1" ht="12.75" customHeight="1">
      <c r="A78" s="27"/>
      <c r="B78" s="1698"/>
      <c r="C78" s="1698"/>
      <c r="D78" s="1698"/>
      <c r="E78" s="1698"/>
      <c r="F78" s="1698"/>
      <c r="G78" s="1698"/>
      <c r="H78" s="1698"/>
      <c r="I78" s="1698"/>
      <c r="J78" s="1698"/>
      <c r="K78" s="1698"/>
      <c r="L78" s="1698"/>
      <c r="M78" s="1698"/>
      <c r="N78" s="1698"/>
      <c r="O78" s="1698"/>
      <c r="P78" s="1698"/>
      <c r="Q78" s="1698"/>
      <c r="R78" s="1698"/>
      <c r="S78" s="1698"/>
      <c r="T78" s="1698"/>
      <c r="U78" s="1698"/>
      <c r="V78" s="1698"/>
      <c r="W78" s="1698"/>
      <c r="X78" s="1698"/>
      <c r="Y78" s="1698"/>
      <c r="Z78" s="1698"/>
      <c r="AA78" s="1698"/>
      <c r="AB78" s="1698"/>
      <c r="AC78" s="1698"/>
      <c r="AD78" s="1698"/>
      <c r="AE78" s="1698"/>
      <c r="AF78" s="1698"/>
      <c r="AG78" s="1698"/>
      <c r="AH78" s="1698"/>
      <c r="AI78" s="1698"/>
      <c r="AJ78" s="1698"/>
      <c r="AK78" s="1698"/>
      <c r="AL78" s="101"/>
      <c r="AM78" s="27"/>
      <c r="AN78" s="279"/>
    </row>
    <row r="79" spans="1:46" s="4" customFormat="1" ht="12.75" customHeight="1">
      <c r="A79" s="27"/>
      <c r="B79" s="1698"/>
      <c r="C79" s="1698"/>
      <c r="D79" s="1698"/>
      <c r="E79" s="1698"/>
      <c r="F79" s="1698"/>
      <c r="G79" s="1698"/>
      <c r="H79" s="1698"/>
      <c r="I79" s="1698"/>
      <c r="J79" s="1698"/>
      <c r="K79" s="1698"/>
      <c r="L79" s="1698"/>
      <c r="M79" s="1698"/>
      <c r="N79" s="1698"/>
      <c r="O79" s="1698"/>
      <c r="P79" s="1698"/>
      <c r="Q79" s="1698"/>
      <c r="R79" s="1698"/>
      <c r="S79" s="1698"/>
      <c r="T79" s="1698"/>
      <c r="U79" s="1698"/>
      <c r="V79" s="1698"/>
      <c r="W79" s="1698"/>
      <c r="X79" s="1698"/>
      <c r="Y79" s="1698"/>
      <c r="Z79" s="1698"/>
      <c r="AA79" s="1698"/>
      <c r="AB79" s="1698"/>
      <c r="AC79" s="1698"/>
      <c r="AD79" s="1698"/>
      <c r="AE79" s="1698"/>
      <c r="AF79" s="1698"/>
      <c r="AG79" s="1698"/>
      <c r="AH79" s="1698"/>
      <c r="AI79" s="1698"/>
      <c r="AJ79" s="1698"/>
      <c r="AK79" s="1698"/>
      <c r="AL79" s="101"/>
      <c r="AM79" s="27"/>
      <c r="AN79" s="279"/>
    </row>
    <row r="80" spans="1:46" s="4" customFormat="1" ht="12.75" customHeight="1">
      <c r="A80" s="27"/>
      <c r="B80" s="1698"/>
      <c r="C80" s="1698"/>
      <c r="D80" s="1698"/>
      <c r="E80" s="1698"/>
      <c r="F80" s="1698"/>
      <c r="G80" s="1698"/>
      <c r="H80" s="1698"/>
      <c r="I80" s="1698"/>
      <c r="J80" s="1698"/>
      <c r="K80" s="1698"/>
      <c r="L80" s="1698"/>
      <c r="M80" s="1698"/>
      <c r="N80" s="1698"/>
      <c r="O80" s="1698"/>
      <c r="P80" s="1698"/>
      <c r="Q80" s="1698"/>
      <c r="R80" s="1698"/>
      <c r="S80" s="1698"/>
      <c r="T80" s="1698"/>
      <c r="U80" s="1698"/>
      <c r="V80" s="1698"/>
      <c r="W80" s="1698"/>
      <c r="X80" s="1698"/>
      <c r="Y80" s="1698"/>
      <c r="Z80" s="1698"/>
      <c r="AA80" s="1698"/>
      <c r="AB80" s="1698"/>
      <c r="AC80" s="1698"/>
      <c r="AD80" s="1698"/>
      <c r="AE80" s="1698"/>
      <c r="AF80" s="1698"/>
      <c r="AG80" s="1698"/>
      <c r="AH80" s="1698"/>
      <c r="AI80" s="1698"/>
      <c r="AJ80" s="1698"/>
      <c r="AK80" s="1698"/>
      <c r="AL80" s="101"/>
      <c r="AM80" s="27"/>
      <c r="AN80" s="279"/>
    </row>
    <row r="81" spans="1:42" ht="12.75" customHeight="1">
      <c r="A81" s="27"/>
      <c r="B81" s="1698"/>
      <c r="C81" s="1698"/>
      <c r="D81" s="1698"/>
      <c r="E81" s="1698"/>
      <c r="F81" s="1698"/>
      <c r="G81" s="1698"/>
      <c r="H81" s="1698"/>
      <c r="I81" s="1698"/>
      <c r="J81" s="1698"/>
      <c r="K81" s="1698"/>
      <c r="L81" s="1698"/>
      <c r="M81" s="1698"/>
      <c r="N81" s="1698"/>
      <c r="O81" s="1698"/>
      <c r="P81" s="1698"/>
      <c r="Q81" s="1698"/>
      <c r="R81" s="1698"/>
      <c r="S81" s="1698"/>
      <c r="T81" s="1698"/>
      <c r="U81" s="1698"/>
      <c r="V81" s="1698"/>
      <c r="W81" s="1698"/>
      <c r="X81" s="1698"/>
      <c r="Y81" s="1698"/>
      <c r="Z81" s="1698"/>
      <c r="AA81" s="1698"/>
      <c r="AB81" s="1698"/>
      <c r="AC81" s="1698"/>
      <c r="AD81" s="1698"/>
      <c r="AE81" s="1698"/>
      <c r="AF81" s="1698"/>
      <c r="AG81" s="1698"/>
      <c r="AH81" s="1698"/>
      <c r="AI81" s="1698"/>
      <c r="AJ81" s="1698"/>
      <c r="AK81" s="1698"/>
      <c r="AL81" s="101"/>
      <c r="AM81" s="27"/>
    </row>
    <row r="82" spans="1:42" s="4" customFormat="1" ht="12.75" customHeight="1">
      <c r="B82" s="1698"/>
      <c r="C82" s="1698"/>
      <c r="D82" s="1698"/>
      <c r="E82" s="1698"/>
      <c r="F82" s="1698"/>
      <c r="G82" s="1698"/>
      <c r="H82" s="1698"/>
      <c r="I82" s="1698"/>
      <c r="J82" s="1698"/>
      <c r="K82" s="1698"/>
      <c r="L82" s="1698"/>
      <c r="M82" s="1698"/>
      <c r="N82" s="1698"/>
      <c r="O82" s="1698"/>
      <c r="P82" s="1698"/>
      <c r="Q82" s="1698"/>
      <c r="R82" s="1698"/>
      <c r="S82" s="1698"/>
      <c r="T82" s="1698"/>
      <c r="U82" s="1698"/>
      <c r="V82" s="1698"/>
      <c r="W82" s="1698"/>
      <c r="X82" s="1698"/>
      <c r="Y82" s="1698"/>
      <c r="Z82" s="1698"/>
      <c r="AA82" s="1698"/>
      <c r="AB82" s="1698"/>
      <c r="AC82" s="1698"/>
      <c r="AD82" s="1698"/>
      <c r="AE82" s="1698"/>
      <c r="AF82" s="1698"/>
      <c r="AG82" s="1698"/>
      <c r="AH82" s="1698"/>
      <c r="AI82" s="1698"/>
      <c r="AJ82" s="1698"/>
      <c r="AK82" s="1698"/>
      <c r="AL82" s="101"/>
      <c r="AN82" s="279"/>
    </row>
    <row r="83" spans="1:42" s="4" customFormat="1" ht="12.75" customHeight="1">
      <c r="B83" s="1698"/>
      <c r="C83" s="1698"/>
      <c r="D83" s="1698"/>
      <c r="E83" s="1698"/>
      <c r="F83" s="1698"/>
      <c r="G83" s="1698"/>
      <c r="H83" s="1698"/>
      <c r="I83" s="1698"/>
      <c r="J83" s="1698"/>
      <c r="K83" s="1698"/>
      <c r="L83" s="1698"/>
      <c r="M83" s="1698"/>
      <c r="N83" s="1698"/>
      <c r="O83" s="1698"/>
      <c r="P83" s="1698"/>
      <c r="Q83" s="1698"/>
      <c r="R83" s="1698"/>
      <c r="S83" s="1698"/>
      <c r="T83" s="1698"/>
      <c r="U83" s="1698"/>
      <c r="V83" s="1698"/>
      <c r="W83" s="1698"/>
      <c r="X83" s="1698"/>
      <c r="Y83" s="1698"/>
      <c r="Z83" s="1698"/>
      <c r="AA83" s="1698"/>
      <c r="AB83" s="1698"/>
      <c r="AC83" s="1698"/>
      <c r="AD83" s="1698"/>
      <c r="AE83" s="1698"/>
      <c r="AF83" s="1698"/>
      <c r="AG83" s="1698"/>
      <c r="AH83" s="1698"/>
      <c r="AI83" s="1698"/>
      <c r="AJ83" s="1698"/>
      <c r="AK83" s="1698"/>
      <c r="AL83" s="101"/>
      <c r="AN83" s="279"/>
    </row>
    <row r="84" spans="1:42" s="4" customFormat="1" ht="14.45" customHeight="1">
      <c r="B84" s="1698"/>
      <c r="C84" s="1698"/>
      <c r="D84" s="1698"/>
      <c r="E84" s="1698"/>
      <c r="F84" s="1698"/>
      <c r="G84" s="1698"/>
      <c r="H84" s="1698"/>
      <c r="I84" s="1698"/>
      <c r="J84" s="1698"/>
      <c r="K84" s="1698"/>
      <c r="L84" s="1698"/>
      <c r="M84" s="1698"/>
      <c r="N84" s="1698"/>
      <c r="O84" s="1698"/>
      <c r="P84" s="1698"/>
      <c r="Q84" s="1698"/>
      <c r="R84" s="1698"/>
      <c r="S84" s="1698"/>
      <c r="T84" s="1698"/>
      <c r="U84" s="1698"/>
      <c r="V84" s="1698"/>
      <c r="W84" s="1698"/>
      <c r="X84" s="1698"/>
      <c r="Y84" s="1698"/>
      <c r="Z84" s="1698"/>
      <c r="AA84" s="1698"/>
      <c r="AB84" s="1698"/>
      <c r="AC84" s="1698"/>
      <c r="AD84" s="1698"/>
      <c r="AE84" s="1698"/>
      <c r="AF84" s="1698"/>
      <c r="AG84" s="1698"/>
      <c r="AH84" s="1698"/>
      <c r="AI84" s="1698"/>
      <c r="AJ84" s="1698"/>
      <c r="AK84" s="1698"/>
      <c r="AL84" s="101"/>
      <c r="AN84" s="279"/>
    </row>
    <row r="85" spans="1:42" s="4" customFormat="1" ht="12.75" customHeight="1">
      <c r="B85" s="1698"/>
      <c r="C85" s="1698"/>
      <c r="D85" s="1698"/>
      <c r="E85" s="1698"/>
      <c r="F85" s="1698"/>
      <c r="G85" s="1698"/>
      <c r="H85" s="1698"/>
      <c r="I85" s="1698"/>
      <c r="J85" s="1698"/>
      <c r="K85" s="1698"/>
      <c r="L85" s="1698"/>
      <c r="M85" s="1698"/>
      <c r="N85" s="1698"/>
      <c r="O85" s="1698"/>
      <c r="P85" s="1698"/>
      <c r="Q85" s="1698"/>
      <c r="R85" s="1698"/>
      <c r="S85" s="1698"/>
      <c r="T85" s="1698"/>
      <c r="U85" s="1698"/>
      <c r="V85" s="1698"/>
      <c r="W85" s="1698"/>
      <c r="X85" s="1698"/>
      <c r="Y85" s="1698"/>
      <c r="Z85" s="1698"/>
      <c r="AA85" s="1698"/>
      <c r="AB85" s="1698"/>
      <c r="AC85" s="1698"/>
      <c r="AD85" s="1698"/>
      <c r="AE85" s="1698"/>
      <c r="AF85" s="1698"/>
      <c r="AG85" s="1698"/>
      <c r="AH85" s="1698"/>
      <c r="AI85" s="1698"/>
      <c r="AJ85" s="1698"/>
      <c r="AK85" s="1698"/>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731" t="s">
        <v>854</v>
      </c>
      <c r="AG90" s="1731"/>
      <c r="AH90" s="1731"/>
      <c r="AI90" s="1731"/>
      <c r="AJ90" s="1731"/>
      <c r="AK90" s="1731"/>
      <c r="AL90" s="1731"/>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31" t="s">
        <v>58</v>
      </c>
      <c r="AG95" s="1731"/>
      <c r="AH95" s="1731"/>
      <c r="AI95" s="1731"/>
      <c r="AJ95" s="1731"/>
      <c r="AK95" s="1731"/>
      <c r="AL95" s="1731"/>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31" t="s">
        <v>59</v>
      </c>
      <c r="AG100" s="1731"/>
      <c r="AH100" s="1731"/>
      <c r="AI100" s="1731"/>
      <c r="AJ100" s="1731"/>
      <c r="AK100" s="1731"/>
      <c r="AL100" s="1731"/>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31" t="s">
        <v>60</v>
      </c>
      <c r="AG105" s="1731"/>
      <c r="AH105" s="1731"/>
      <c r="AI105" s="1731"/>
      <c r="AJ105" s="1731"/>
      <c r="AK105" s="1731"/>
      <c r="AL105" s="1731"/>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31" t="s">
        <v>61</v>
      </c>
      <c r="AG109" s="1731"/>
      <c r="AH109" s="1731"/>
      <c r="AI109" s="1731"/>
      <c r="AJ109" s="1731"/>
      <c r="AK109" s="1731"/>
      <c r="AL109" s="1731"/>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76" t="s">
        <v>197</v>
      </c>
      <c r="I112" s="1776"/>
      <c r="J112" s="114"/>
      <c r="K112" s="114"/>
      <c r="L112" s="114"/>
      <c r="M112" s="933" t="s">
        <v>2087</v>
      </c>
      <c r="R112" s="1867"/>
      <c r="S112" s="1867"/>
      <c r="T112" s="1867"/>
      <c r="U112" s="1867"/>
      <c r="V112" s="1867"/>
      <c r="W112" s="1867"/>
      <c r="Y112" s="1141" t="str">
        <f>IF(AND(H112="(i)",NOT(Application!AF419&gt;25)),AO103,IF(AND(H112="(iv)",OR(R112=AO108,R112=AO109),NOT(AP94)),AO104,""))</f>
        <v/>
      </c>
      <c r="Z112" s="1141"/>
      <c r="AA112" s="1141"/>
      <c r="AB112" s="1141"/>
      <c r="AC112" s="1141"/>
      <c r="AD112" s="1141"/>
      <c r="AE112" s="1141"/>
      <c r="AF112" s="1141"/>
      <c r="AG112" s="1141"/>
      <c r="AH112" s="1141"/>
      <c r="AI112" s="1141"/>
      <c r="AJ112" s="1141"/>
      <c r="AK112" s="1141"/>
      <c r="AL112" s="1141"/>
      <c r="AM112" s="1868"/>
      <c r="AN112" s="953"/>
    </row>
    <row r="113" spans="1:47" s="4" customFormat="1" ht="12.75" customHeight="1">
      <c r="B113" s="5"/>
      <c r="C113" s="113"/>
      <c r="E113" s="114"/>
      <c r="F113" s="114"/>
      <c r="G113" s="114"/>
      <c r="H113" s="114"/>
      <c r="I113" s="114"/>
      <c r="J113" s="114"/>
      <c r="K113" s="114"/>
      <c r="L113" s="114"/>
      <c r="M113" s="114"/>
      <c r="Y113" s="1141"/>
      <c r="Z113" s="1141"/>
      <c r="AA113" s="1141"/>
      <c r="AB113" s="1141"/>
      <c r="AC113" s="1141"/>
      <c r="AD113" s="1141"/>
      <c r="AE113" s="1141"/>
      <c r="AF113" s="1141"/>
      <c r="AG113" s="1141"/>
      <c r="AH113" s="1141"/>
      <c r="AI113" s="1141"/>
      <c r="AJ113" s="1141"/>
      <c r="AK113" s="1141"/>
      <c r="AL113" s="1141"/>
      <c r="AM113" s="1868"/>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57" t="s">
        <v>2232</v>
      </c>
      <c r="E116" s="1857"/>
      <c r="F116" s="1857"/>
      <c r="G116" s="1857"/>
      <c r="H116" s="1857"/>
      <c r="I116" s="1857"/>
      <c r="J116" s="1857"/>
      <c r="K116" s="1857"/>
      <c r="L116" s="1857"/>
      <c r="M116" s="1857"/>
      <c r="N116" s="1857"/>
      <c r="O116" s="1857"/>
      <c r="P116" s="1857"/>
      <c r="Q116" s="1857"/>
      <c r="R116" s="1857"/>
      <c r="S116" s="1857"/>
      <c r="T116" s="1857"/>
      <c r="U116" s="1857"/>
      <c r="V116" s="1857"/>
      <c r="W116" s="1857"/>
      <c r="X116" s="1857"/>
      <c r="Y116" s="1857"/>
      <c r="Z116" s="1857"/>
      <c r="AA116" s="1857"/>
      <c r="AB116" s="1857"/>
      <c r="AC116" s="1857"/>
      <c r="AD116" s="1857"/>
      <c r="AE116" s="1857"/>
      <c r="AF116" s="1857"/>
      <c r="AG116" s="1857"/>
      <c r="AH116" s="1857"/>
      <c r="AN116" s="279"/>
      <c r="AO116" s="4" t="s">
        <v>124</v>
      </c>
      <c r="AP116" s="469">
        <v>0</v>
      </c>
    </row>
    <row r="117" spans="1:47" s="4" customFormat="1" ht="12.75" customHeight="1">
      <c r="B117" s="5"/>
      <c r="C117" s="113"/>
      <c r="D117" s="1857"/>
      <c r="E117" s="1857"/>
      <c r="F117" s="1857"/>
      <c r="G117" s="1857"/>
      <c r="H117" s="1857"/>
      <c r="I117" s="1857"/>
      <c r="J117" s="1857"/>
      <c r="K117" s="1857"/>
      <c r="L117" s="1857"/>
      <c r="M117" s="1857"/>
      <c r="N117" s="1857"/>
      <c r="O117" s="1857"/>
      <c r="P117" s="1857"/>
      <c r="Q117" s="1857"/>
      <c r="R117" s="1857"/>
      <c r="S117" s="1857"/>
      <c r="T117" s="1857"/>
      <c r="U117" s="1857"/>
      <c r="V117" s="1857"/>
      <c r="W117" s="1857"/>
      <c r="X117" s="1857"/>
      <c r="Y117" s="1857"/>
      <c r="Z117" s="1857"/>
      <c r="AA117" s="1857"/>
      <c r="AB117" s="1857"/>
      <c r="AC117" s="1857"/>
      <c r="AD117" s="1857"/>
      <c r="AE117" s="1857"/>
      <c r="AF117" s="1857"/>
      <c r="AG117" s="1857"/>
      <c r="AH117" s="1857"/>
      <c r="AN117" s="279"/>
      <c r="AO117" s="4" t="s">
        <v>1469</v>
      </c>
      <c r="AP117" s="4">
        <v>3</v>
      </c>
    </row>
    <row r="118" spans="1:47" s="4" customFormat="1" ht="12.75" customHeight="1">
      <c r="B118" s="5"/>
      <c r="C118" s="113"/>
      <c r="E118" s="4" t="s">
        <v>147</v>
      </c>
      <c r="F118" s="114"/>
      <c r="G118" s="114"/>
      <c r="H118" s="1866" t="s">
        <v>124</v>
      </c>
      <c r="I118" s="1866"/>
      <c r="J118" s="1866"/>
      <c r="K118" s="1866"/>
      <c r="L118" s="1866"/>
      <c r="M118" s="1866"/>
      <c r="N118" s="1866"/>
      <c r="O118" s="1866"/>
      <c r="P118" s="1866"/>
      <c r="Q118" s="1866"/>
      <c r="R118" s="1866"/>
      <c r="S118" s="1866"/>
      <c r="T118" s="1866"/>
      <c r="U118" s="1866"/>
      <c r="V118" s="1866"/>
      <c r="W118" s="1866"/>
      <c r="X118" s="1866"/>
      <c r="Y118" s="1866"/>
      <c r="Z118" s="1866"/>
      <c r="AA118" s="1866"/>
      <c r="AB118" s="1866"/>
      <c r="AC118" s="1866"/>
      <c r="AD118" s="1866"/>
      <c r="AE118" s="1866"/>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855" t="s">
        <v>124</v>
      </c>
      <c r="C120" s="1855"/>
      <c r="D120" s="49"/>
      <c r="E120" s="1698" t="s">
        <v>1758</v>
      </c>
      <c r="F120" s="1698"/>
      <c r="G120" s="1698"/>
      <c r="H120" s="1698"/>
      <c r="I120" s="1698"/>
      <c r="J120" s="1698"/>
      <c r="K120" s="1698"/>
      <c r="L120" s="1698"/>
      <c r="M120" s="1698"/>
      <c r="N120" s="1698"/>
      <c r="O120" s="1698"/>
      <c r="P120" s="1698"/>
      <c r="Q120" s="1698"/>
      <c r="R120" s="1698"/>
      <c r="S120" s="1698"/>
      <c r="T120" s="1698"/>
      <c r="U120" s="1698"/>
      <c r="V120" s="1698"/>
      <c r="W120" s="1698"/>
      <c r="X120" s="1698"/>
      <c r="Y120" s="1698"/>
      <c r="Z120" s="1698"/>
      <c r="AA120" s="1698"/>
      <c r="AB120" s="1698"/>
      <c r="AC120" s="1698"/>
      <c r="AD120" s="1698"/>
      <c r="AE120" s="1698"/>
      <c r="AF120" s="1698"/>
      <c r="AG120" s="1698"/>
      <c r="AH120" s="49"/>
      <c r="AI120" s="49"/>
      <c r="AJ120" s="49"/>
      <c r="AK120" s="49"/>
      <c r="AL120" s="49"/>
      <c r="AN120" s="279"/>
    </row>
    <row r="121" spans="1:47" s="4" customFormat="1" ht="12.75" customHeight="1">
      <c r="B121" s="5"/>
      <c r="C121" s="113"/>
      <c r="D121" s="49"/>
      <c r="E121" s="1698"/>
      <c r="F121" s="1698"/>
      <c r="G121" s="1698"/>
      <c r="H121" s="1698"/>
      <c r="I121" s="1698"/>
      <c r="J121" s="1698"/>
      <c r="K121" s="1698"/>
      <c r="L121" s="1698"/>
      <c r="M121" s="1698"/>
      <c r="N121" s="1698"/>
      <c r="O121" s="1698"/>
      <c r="P121" s="1698"/>
      <c r="Q121" s="1698"/>
      <c r="R121" s="1698"/>
      <c r="S121" s="1698"/>
      <c r="T121" s="1698"/>
      <c r="U121" s="1698"/>
      <c r="V121" s="1698"/>
      <c r="W121" s="1698"/>
      <c r="X121" s="1698"/>
      <c r="Y121" s="1698"/>
      <c r="Z121" s="1698"/>
      <c r="AA121" s="1698"/>
      <c r="AB121" s="1698"/>
      <c r="AC121" s="1698"/>
      <c r="AD121" s="1698"/>
      <c r="AE121" s="1698"/>
      <c r="AF121" s="1698"/>
      <c r="AG121" s="1698"/>
      <c r="AH121" s="49"/>
      <c r="AI121" s="49"/>
      <c r="AJ121" s="49"/>
      <c r="AK121" s="49"/>
      <c r="AL121" s="49"/>
      <c r="AN121" s="279"/>
    </row>
    <row r="122" spans="1:47" s="4" customFormat="1" ht="12.75" customHeight="1">
      <c r="B122" s="5"/>
      <c r="C122" s="113"/>
      <c r="D122" s="49"/>
      <c r="E122" s="1698"/>
      <c r="F122" s="1698"/>
      <c r="G122" s="1698"/>
      <c r="H122" s="1698"/>
      <c r="I122" s="1698"/>
      <c r="J122" s="1698"/>
      <c r="K122" s="1698"/>
      <c r="L122" s="1698"/>
      <c r="M122" s="1698"/>
      <c r="N122" s="1698"/>
      <c r="O122" s="1698"/>
      <c r="P122" s="1698"/>
      <c r="Q122" s="1698"/>
      <c r="R122" s="1698"/>
      <c r="S122" s="1698"/>
      <c r="T122" s="1698"/>
      <c r="U122" s="1698"/>
      <c r="V122" s="1698"/>
      <c r="W122" s="1698"/>
      <c r="X122" s="1698"/>
      <c r="Y122" s="1698"/>
      <c r="Z122" s="1698"/>
      <c r="AA122" s="1698"/>
      <c r="AB122" s="1698"/>
      <c r="AC122" s="1698"/>
      <c r="AD122" s="1698"/>
      <c r="AE122" s="1698"/>
      <c r="AF122" s="1698"/>
      <c r="AG122" s="1698"/>
      <c r="AH122" s="49"/>
      <c r="AI122" s="49"/>
      <c r="AJ122" s="49"/>
      <c r="AK122" s="49"/>
      <c r="AL122" s="49"/>
      <c r="AN122" s="279"/>
    </row>
    <row r="123" spans="1:47" s="4" customFormat="1" ht="12.75" customHeight="1">
      <c r="B123" s="5"/>
      <c r="C123" s="113"/>
      <c r="D123" s="297"/>
      <c r="E123" s="1862"/>
      <c r="F123" s="1862"/>
      <c r="G123" s="1862"/>
      <c r="H123" s="1862"/>
      <c r="I123" s="1862"/>
      <c r="J123" s="1862"/>
      <c r="K123" s="1862"/>
      <c r="L123" s="1862"/>
      <c r="M123" s="1862"/>
      <c r="N123" s="1862"/>
      <c r="O123" s="1862"/>
      <c r="P123" s="1862"/>
      <c r="Q123" s="1862"/>
      <c r="R123" s="1862"/>
      <c r="S123" s="1862"/>
      <c r="T123" s="1862"/>
      <c r="U123" s="1862"/>
      <c r="V123" s="1862"/>
      <c r="W123" s="1862"/>
      <c r="X123" s="1862"/>
      <c r="Y123" s="1862"/>
      <c r="Z123" s="1862"/>
      <c r="AA123" s="1862"/>
      <c r="AB123" s="1862"/>
      <c r="AC123" s="1862"/>
      <c r="AD123" s="1862"/>
      <c r="AE123" s="1862"/>
      <c r="AF123" s="1862"/>
      <c r="AG123" s="1862"/>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308">
        <f>VLOOKUP($H$112,$AO$96:$AP$101,2,FALSE)+IF(R112=AO108,0,VLOOKUP($H$118,$AO$116:$AP$118,2,FALSE))</f>
        <v>6</v>
      </c>
      <c r="AK124" s="1310"/>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59" t="s">
        <v>1826</v>
      </c>
      <c r="F128" s="1859"/>
      <c r="G128" s="1859"/>
      <c r="H128" s="1859"/>
      <c r="I128" s="1859"/>
      <c r="J128" s="1859"/>
      <c r="K128" s="1859"/>
      <c r="L128" s="1859"/>
      <c r="M128" s="1859"/>
      <c r="N128" s="1859"/>
      <c r="O128" s="1859"/>
      <c r="P128" s="1859"/>
      <c r="Q128" s="1859"/>
      <c r="R128" s="1859"/>
      <c r="S128" s="1859"/>
      <c r="T128" s="1859"/>
      <c r="U128" s="1859"/>
      <c r="V128" s="1859"/>
      <c r="W128" s="1859"/>
      <c r="X128" s="1859"/>
      <c r="Y128" s="1859"/>
      <c r="Z128" s="1859"/>
      <c r="AA128" s="1859"/>
      <c r="AB128" s="1859"/>
      <c r="AC128" s="1859"/>
      <c r="AD128" s="1859"/>
      <c r="AF128" s="1731" t="s">
        <v>61</v>
      </c>
      <c r="AG128" s="1731"/>
      <c r="AH128" s="1731"/>
      <c r="AI128" s="1731"/>
      <c r="AJ128" s="1731"/>
      <c r="AK128" s="1731"/>
      <c r="AL128" s="1731"/>
      <c r="AM128" s="4"/>
      <c r="AN128" s="296"/>
      <c r="AO128" s="4" t="str">
        <f>S133</f>
        <v>N/A</v>
      </c>
    </row>
    <row r="129" spans="1:42" s="4" customFormat="1" ht="12.75" customHeight="1">
      <c r="A129" s="118"/>
      <c r="B129" s="5"/>
      <c r="C129" s="113"/>
      <c r="D129" s="26"/>
      <c r="E129" s="1859"/>
      <c r="F129" s="1859"/>
      <c r="G129" s="1859"/>
      <c r="H129" s="1859"/>
      <c r="I129" s="1859"/>
      <c r="J129" s="1859"/>
      <c r="K129" s="1859"/>
      <c r="L129" s="1859"/>
      <c r="M129" s="1859"/>
      <c r="N129" s="1859"/>
      <c r="O129" s="1859"/>
      <c r="P129" s="1859"/>
      <c r="Q129" s="1859"/>
      <c r="R129" s="1859"/>
      <c r="S129" s="1859"/>
      <c r="T129" s="1859"/>
      <c r="U129" s="1859"/>
      <c r="V129" s="1859"/>
      <c r="W129" s="1859"/>
      <c r="X129" s="1859"/>
      <c r="Y129" s="1859"/>
      <c r="Z129" s="1859"/>
      <c r="AA129" s="1859"/>
      <c r="AB129" s="1859"/>
      <c r="AC129" s="1859"/>
      <c r="AD129" s="1859"/>
      <c r="AF129" s="5"/>
      <c r="AN129" s="279"/>
    </row>
    <row r="130" spans="1:42" s="4" customFormat="1" ht="12.75" customHeight="1">
      <c r="B130" s="5"/>
      <c r="C130" s="45"/>
      <c r="D130" s="26"/>
      <c r="E130" s="1859"/>
      <c r="F130" s="1859"/>
      <c r="G130" s="1859"/>
      <c r="H130" s="1859"/>
      <c r="I130" s="1859"/>
      <c r="J130" s="1859"/>
      <c r="K130" s="1859"/>
      <c r="L130" s="1859"/>
      <c r="M130" s="1859"/>
      <c r="N130" s="1859"/>
      <c r="O130" s="1859"/>
      <c r="P130" s="1859"/>
      <c r="Q130" s="1859"/>
      <c r="R130" s="1859"/>
      <c r="S130" s="1859"/>
      <c r="T130" s="1859"/>
      <c r="U130" s="1859"/>
      <c r="V130" s="1859"/>
      <c r="W130" s="1859"/>
      <c r="X130" s="1859"/>
      <c r="Y130" s="1859"/>
      <c r="Z130" s="1859"/>
      <c r="AA130" s="1859"/>
      <c r="AB130" s="1859"/>
      <c r="AC130" s="1859"/>
      <c r="AD130" s="1859"/>
      <c r="AF130" s="5"/>
      <c r="AN130" s="279"/>
    </row>
    <row r="131" spans="1:42" s="4" customFormat="1" ht="12.75" customHeight="1">
      <c r="A131" s="35"/>
      <c r="B131" s="100"/>
      <c r="C131" s="119"/>
      <c r="D131" s="26"/>
      <c r="E131" s="1859"/>
      <c r="F131" s="1859"/>
      <c r="G131" s="1859"/>
      <c r="H131" s="1859"/>
      <c r="I131" s="1859"/>
      <c r="J131" s="1859"/>
      <c r="K131" s="1859"/>
      <c r="L131" s="1859"/>
      <c r="M131" s="1859"/>
      <c r="N131" s="1859"/>
      <c r="O131" s="1859"/>
      <c r="P131" s="1859"/>
      <c r="Q131" s="1859"/>
      <c r="R131" s="1859"/>
      <c r="S131" s="1859"/>
      <c r="T131" s="1859"/>
      <c r="U131" s="1859"/>
      <c r="V131" s="1859"/>
      <c r="W131" s="1859"/>
      <c r="X131" s="1859"/>
      <c r="Y131" s="1859"/>
      <c r="Z131" s="1859"/>
      <c r="AA131" s="1859"/>
      <c r="AB131" s="1859"/>
      <c r="AC131" s="1859"/>
      <c r="AD131" s="1859"/>
      <c r="AE131" s="19"/>
      <c r="AF131" s="100"/>
      <c r="AG131" s="19"/>
      <c r="AH131" s="19"/>
      <c r="AI131" s="19"/>
      <c r="AJ131" s="19"/>
      <c r="AN131" s="279"/>
    </row>
    <row r="132" spans="1:42" s="4" customFormat="1" ht="22.9" customHeight="1">
      <c r="B132" s="100"/>
      <c r="C132" s="119"/>
      <c r="D132" s="26"/>
      <c r="E132" s="1859"/>
      <c r="F132" s="1859"/>
      <c r="G132" s="1859"/>
      <c r="H132" s="1859"/>
      <c r="I132" s="1859"/>
      <c r="J132" s="1859"/>
      <c r="K132" s="1859"/>
      <c r="L132" s="1859"/>
      <c r="M132" s="1859"/>
      <c r="N132" s="1859"/>
      <c r="O132" s="1859"/>
      <c r="P132" s="1859"/>
      <c r="Q132" s="1859"/>
      <c r="R132" s="1859"/>
      <c r="S132" s="1859"/>
      <c r="T132" s="1859"/>
      <c r="U132" s="1859"/>
      <c r="V132" s="1859"/>
      <c r="W132" s="1859"/>
      <c r="X132" s="1859"/>
      <c r="Y132" s="1859"/>
      <c r="Z132" s="1859"/>
      <c r="AA132" s="1859"/>
      <c r="AB132" s="1859"/>
      <c r="AC132" s="1859"/>
      <c r="AD132" s="1859"/>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58" t="s">
        <v>124</v>
      </c>
      <c r="T133" s="1858"/>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31" t="s">
        <v>103</v>
      </c>
      <c r="AG135" s="1731"/>
      <c r="AH135" s="1731"/>
      <c r="AI135" s="1731"/>
      <c r="AJ135" s="1731"/>
      <c r="AK135" s="1731"/>
      <c r="AL135" s="1731"/>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76" t="s">
        <v>581</v>
      </c>
      <c r="I137" s="1776"/>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308">
        <f>VLOOKUP($H$137,$AO$133:$AP$135,2,FALSE)</f>
        <v>3</v>
      </c>
      <c r="AK139" s="1310"/>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31" t="s">
        <v>61</v>
      </c>
      <c r="AG143" s="1731"/>
      <c r="AH143" s="1731"/>
      <c r="AI143" s="1731"/>
      <c r="AJ143" s="1731"/>
      <c r="AK143" s="1731"/>
      <c r="AL143" s="1731"/>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31" t="s">
        <v>103</v>
      </c>
      <c r="AG146" s="1731"/>
      <c r="AH146" s="1731"/>
      <c r="AI146" s="1731"/>
      <c r="AJ146" s="1731"/>
      <c r="AK146" s="1731"/>
      <c r="AL146" s="1731"/>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76" t="s">
        <v>581</v>
      </c>
      <c r="I149" s="1776"/>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308">
        <f>VLOOKUP(H149,AO140:AP142,2,FALSE)</f>
        <v>3</v>
      </c>
      <c r="AK151" s="1310"/>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98" t="s">
        <v>746</v>
      </c>
      <c r="F156" s="1698"/>
      <c r="G156" s="1698"/>
      <c r="H156" s="1698"/>
      <c r="I156" s="1698"/>
      <c r="J156" s="1698"/>
      <c r="K156" s="1698"/>
      <c r="L156" s="1698"/>
      <c r="M156" s="1698"/>
      <c r="N156" s="1698"/>
      <c r="O156" s="1698"/>
      <c r="P156" s="1698"/>
      <c r="Q156" s="1698"/>
      <c r="R156" s="1698"/>
      <c r="S156" s="1698"/>
      <c r="T156" s="1698"/>
      <c r="U156" s="1698"/>
      <c r="V156" s="1698"/>
      <c r="W156" s="1698"/>
      <c r="X156" s="1698"/>
      <c r="Y156" s="1698"/>
      <c r="Z156" s="1698"/>
      <c r="AA156" s="1698"/>
      <c r="AB156" s="1698"/>
      <c r="AC156" s="1698"/>
      <c r="AE156" s="340"/>
      <c r="AF156" s="1494" t="s">
        <v>59</v>
      </c>
      <c r="AG156" s="1494"/>
      <c r="AH156" s="1494"/>
      <c r="AI156" s="1494"/>
      <c r="AJ156" s="1494"/>
      <c r="AK156" s="1494"/>
      <c r="AL156" s="1494"/>
      <c r="AN156" s="279"/>
    </row>
    <row r="157" spans="1:42" s="4" customFormat="1" ht="12.75" customHeight="1">
      <c r="C157" s="3"/>
      <c r="E157" s="1698"/>
      <c r="F157" s="1698"/>
      <c r="G157" s="1698"/>
      <c r="H157" s="1698"/>
      <c r="I157" s="1698"/>
      <c r="J157" s="1698"/>
      <c r="K157" s="1698"/>
      <c r="L157" s="1698"/>
      <c r="M157" s="1698"/>
      <c r="N157" s="1698"/>
      <c r="O157" s="1698"/>
      <c r="P157" s="1698"/>
      <c r="Q157" s="1698"/>
      <c r="R157" s="1698"/>
      <c r="S157" s="1698"/>
      <c r="T157" s="1698"/>
      <c r="U157" s="1698"/>
      <c r="V157" s="1698"/>
      <c r="W157" s="1698"/>
      <c r="X157" s="1698"/>
      <c r="Y157" s="1698"/>
      <c r="Z157" s="1698"/>
      <c r="AA157" s="1698"/>
      <c r="AB157" s="1698"/>
      <c r="AC157" s="1698"/>
      <c r="AE157" s="340"/>
      <c r="AF157" s="340"/>
      <c r="AG157" s="340"/>
      <c r="AH157" s="340"/>
      <c r="AI157" s="340"/>
      <c r="AJ157" s="340"/>
      <c r="AK157" s="340"/>
      <c r="AL157" s="340"/>
      <c r="AN157" s="279"/>
    </row>
    <row r="158" spans="1:42" s="4" customFormat="1" ht="12.75" customHeight="1">
      <c r="C158" s="3"/>
      <c r="D158" s="26"/>
      <c r="E158" s="1698"/>
      <c r="F158" s="1698"/>
      <c r="G158" s="1698"/>
      <c r="H158" s="1698"/>
      <c r="I158" s="1698"/>
      <c r="J158" s="1698"/>
      <c r="K158" s="1698"/>
      <c r="L158" s="1698"/>
      <c r="M158" s="1698"/>
      <c r="N158" s="1698"/>
      <c r="O158" s="1698"/>
      <c r="P158" s="1698"/>
      <c r="Q158" s="1698"/>
      <c r="R158" s="1698"/>
      <c r="S158" s="1698"/>
      <c r="T158" s="1698"/>
      <c r="U158" s="1698"/>
      <c r="V158" s="1698"/>
      <c r="W158" s="1698"/>
      <c r="X158" s="1698"/>
      <c r="Y158" s="1698"/>
      <c r="Z158" s="1698"/>
      <c r="AA158" s="1698"/>
      <c r="AB158" s="1698"/>
      <c r="AC158" s="169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8" t="s">
        <v>1707</v>
      </c>
      <c r="F160" s="1698"/>
      <c r="G160" s="1698"/>
      <c r="H160" s="1698"/>
      <c r="I160" s="1698"/>
      <c r="J160" s="1698"/>
      <c r="K160" s="1698"/>
      <c r="L160" s="1698"/>
      <c r="M160" s="1698"/>
      <c r="N160" s="1698"/>
      <c r="O160" s="1698"/>
      <c r="P160" s="1698"/>
      <c r="Q160" s="1698"/>
      <c r="R160" s="1698"/>
      <c r="S160" s="1698"/>
      <c r="T160" s="1698"/>
      <c r="U160" s="1698"/>
      <c r="V160" s="1698"/>
      <c r="W160" s="1698"/>
      <c r="X160" s="1698"/>
      <c r="Y160" s="1698"/>
      <c r="Z160" s="1698"/>
      <c r="AA160" s="1698"/>
      <c r="AB160" s="1698"/>
      <c r="AC160" s="1698"/>
      <c r="AE160" s="340"/>
      <c r="AF160" s="1494" t="s">
        <v>60</v>
      </c>
      <c r="AG160" s="1494"/>
      <c r="AH160" s="1494"/>
      <c r="AI160" s="1494"/>
      <c r="AJ160" s="1494"/>
      <c r="AK160" s="1494"/>
      <c r="AL160" s="1494"/>
      <c r="AN160" s="279"/>
    </row>
    <row r="161" spans="1:42" s="4" customFormat="1" ht="12.75" customHeight="1">
      <c r="C161" s="3"/>
      <c r="E161" s="1698"/>
      <c r="F161" s="1698"/>
      <c r="G161" s="1698"/>
      <c r="H161" s="1698"/>
      <c r="I161" s="1698"/>
      <c r="J161" s="1698"/>
      <c r="K161" s="1698"/>
      <c r="L161" s="1698"/>
      <c r="M161" s="1698"/>
      <c r="N161" s="1698"/>
      <c r="O161" s="1698"/>
      <c r="P161" s="1698"/>
      <c r="Q161" s="1698"/>
      <c r="R161" s="1698"/>
      <c r="S161" s="1698"/>
      <c r="T161" s="1698"/>
      <c r="U161" s="1698"/>
      <c r="V161" s="1698"/>
      <c r="W161" s="1698"/>
      <c r="X161" s="1698"/>
      <c r="Y161" s="1698"/>
      <c r="Z161" s="1698"/>
      <c r="AA161" s="1698"/>
      <c r="AB161" s="1698"/>
      <c r="AC161" s="1698"/>
      <c r="AE161" s="340"/>
      <c r="AF161" s="340"/>
      <c r="AG161" s="340"/>
      <c r="AH161" s="340"/>
      <c r="AI161" s="340"/>
      <c r="AJ161" s="340"/>
      <c r="AK161" s="340"/>
      <c r="AL161" s="340"/>
      <c r="AN161" s="279"/>
    </row>
    <row r="162" spans="1:42" s="4" customFormat="1" ht="15" customHeight="1">
      <c r="C162" s="3"/>
      <c r="D162" s="26"/>
      <c r="E162" s="1698"/>
      <c r="F162" s="1698"/>
      <c r="G162" s="1698"/>
      <c r="H162" s="1698"/>
      <c r="I162" s="1698"/>
      <c r="J162" s="1698"/>
      <c r="K162" s="1698"/>
      <c r="L162" s="1698"/>
      <c r="M162" s="1698"/>
      <c r="N162" s="1698"/>
      <c r="O162" s="1698"/>
      <c r="P162" s="1698"/>
      <c r="Q162" s="1698"/>
      <c r="R162" s="1698"/>
      <c r="S162" s="1698"/>
      <c r="T162" s="1698"/>
      <c r="U162" s="1698"/>
      <c r="V162" s="1698"/>
      <c r="W162" s="1698"/>
      <c r="X162" s="1698"/>
      <c r="Y162" s="1698"/>
      <c r="Z162" s="1698"/>
      <c r="AA162" s="1698"/>
      <c r="AB162" s="1698"/>
      <c r="AC162" s="169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98" t="s">
        <v>1708</v>
      </c>
      <c r="F164" s="1698"/>
      <c r="G164" s="1698"/>
      <c r="H164" s="1698"/>
      <c r="I164" s="1698"/>
      <c r="J164" s="1698"/>
      <c r="K164" s="1698"/>
      <c r="L164" s="1698"/>
      <c r="M164" s="1698"/>
      <c r="N164" s="1698"/>
      <c r="O164" s="1698"/>
      <c r="P164" s="1698"/>
      <c r="Q164" s="1698"/>
      <c r="R164" s="1698"/>
      <c r="S164" s="1698"/>
      <c r="T164" s="1698"/>
      <c r="U164" s="1698"/>
      <c r="V164" s="1698"/>
      <c r="W164" s="1698"/>
      <c r="X164" s="1698"/>
      <c r="Y164" s="1698"/>
      <c r="Z164" s="1698"/>
      <c r="AA164" s="1698"/>
      <c r="AB164" s="1698"/>
      <c r="AC164" s="1698"/>
      <c r="AE164" s="340"/>
      <c r="AF164" s="1494" t="s">
        <v>61</v>
      </c>
      <c r="AG164" s="1494"/>
      <c r="AH164" s="1494"/>
      <c r="AI164" s="1494"/>
      <c r="AJ164" s="1494"/>
      <c r="AK164" s="1494"/>
      <c r="AL164" s="1494"/>
      <c r="AN164" s="279"/>
    </row>
    <row r="165" spans="1:42" s="4" customFormat="1" ht="12.75" customHeight="1">
      <c r="B165" s="5"/>
      <c r="C165" s="45"/>
      <c r="E165" s="1698"/>
      <c r="F165" s="1698"/>
      <c r="G165" s="1698"/>
      <c r="H165" s="1698"/>
      <c r="I165" s="1698"/>
      <c r="J165" s="1698"/>
      <c r="K165" s="1698"/>
      <c r="L165" s="1698"/>
      <c r="M165" s="1698"/>
      <c r="N165" s="1698"/>
      <c r="O165" s="1698"/>
      <c r="P165" s="1698"/>
      <c r="Q165" s="1698"/>
      <c r="R165" s="1698"/>
      <c r="S165" s="1698"/>
      <c r="T165" s="1698"/>
      <c r="U165" s="1698"/>
      <c r="V165" s="1698"/>
      <c r="W165" s="1698"/>
      <c r="X165" s="1698"/>
      <c r="Y165" s="1698"/>
      <c r="Z165" s="1698"/>
      <c r="AA165" s="1698"/>
      <c r="AB165" s="1698"/>
      <c r="AC165" s="1698"/>
      <c r="AE165" s="1494"/>
      <c r="AF165" s="1494"/>
      <c r="AG165" s="1494"/>
      <c r="AH165" s="1494"/>
      <c r="AI165" s="1494"/>
      <c r="AJ165" s="1494"/>
      <c r="AK165" s="1494"/>
      <c r="AL165" s="963"/>
      <c r="AN165" s="279"/>
    </row>
    <row r="166" spans="1:42" s="4" customFormat="1" ht="12.75" customHeight="1">
      <c r="A166" s="118"/>
      <c r="D166" s="26"/>
      <c r="E166" s="1698"/>
      <c r="F166" s="1698"/>
      <c r="G166" s="1698"/>
      <c r="H166" s="1698"/>
      <c r="I166" s="1698"/>
      <c r="J166" s="1698"/>
      <c r="K166" s="1698"/>
      <c r="L166" s="1698"/>
      <c r="M166" s="1698"/>
      <c r="N166" s="1698"/>
      <c r="O166" s="1698"/>
      <c r="P166" s="1698"/>
      <c r="Q166" s="1698"/>
      <c r="R166" s="1698"/>
      <c r="S166" s="1698"/>
      <c r="T166" s="1698"/>
      <c r="U166" s="1698"/>
      <c r="V166" s="1698"/>
      <c r="W166" s="1698"/>
      <c r="X166" s="1698"/>
      <c r="Y166" s="1698"/>
      <c r="Z166" s="1698"/>
      <c r="AA166" s="1698"/>
      <c r="AB166" s="1698"/>
      <c r="AC166" s="169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98" t="s">
        <v>1709</v>
      </c>
      <c r="F168" s="1698"/>
      <c r="G168" s="1698"/>
      <c r="H168" s="1698"/>
      <c r="I168" s="1698"/>
      <c r="J168" s="1698"/>
      <c r="K168" s="1698"/>
      <c r="L168" s="1698"/>
      <c r="M168" s="1698"/>
      <c r="N168" s="1698"/>
      <c r="O168" s="1698"/>
      <c r="P168" s="1698"/>
      <c r="Q168" s="1698"/>
      <c r="R168" s="1698"/>
      <c r="S168" s="1698"/>
      <c r="T168" s="1698"/>
      <c r="U168" s="1698"/>
      <c r="V168" s="1698"/>
      <c r="W168" s="1698"/>
      <c r="X168" s="1698"/>
      <c r="Y168" s="1698"/>
      <c r="Z168" s="1698"/>
      <c r="AA168" s="1698"/>
      <c r="AB168" s="1698"/>
      <c r="AC168" s="1698"/>
      <c r="AE168" s="340"/>
      <c r="AF168" s="1494" t="s">
        <v>60</v>
      </c>
      <c r="AG168" s="1494"/>
      <c r="AH168" s="1494"/>
      <c r="AI168" s="1494"/>
      <c r="AJ168" s="1494"/>
      <c r="AK168" s="1494"/>
      <c r="AL168" s="1494"/>
      <c r="AN168" s="279"/>
    </row>
    <row r="169" spans="1:42" s="4" customFormat="1" ht="12.75" customHeight="1">
      <c r="A169" s="109"/>
      <c r="B169" s="5"/>
      <c r="C169" s="124"/>
      <c r="D169" s="26"/>
      <c r="E169" s="1698"/>
      <c r="F169" s="1698"/>
      <c r="G169" s="1698"/>
      <c r="H169" s="1698"/>
      <c r="I169" s="1698"/>
      <c r="J169" s="1698"/>
      <c r="K169" s="1698"/>
      <c r="L169" s="1698"/>
      <c r="M169" s="1698"/>
      <c r="N169" s="1698"/>
      <c r="O169" s="1698"/>
      <c r="P169" s="1698"/>
      <c r="Q169" s="1698"/>
      <c r="R169" s="1698"/>
      <c r="S169" s="1698"/>
      <c r="T169" s="1698"/>
      <c r="U169" s="1698"/>
      <c r="V169" s="1698"/>
      <c r="W169" s="1698"/>
      <c r="X169" s="1698"/>
      <c r="Y169" s="1698"/>
      <c r="Z169" s="1698"/>
      <c r="AA169" s="1698"/>
      <c r="AB169" s="1698"/>
      <c r="AC169" s="1698"/>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98"/>
      <c r="F170" s="1698"/>
      <c r="G170" s="1698"/>
      <c r="H170" s="1698"/>
      <c r="I170" s="1698"/>
      <c r="J170" s="1698"/>
      <c r="K170" s="1698"/>
      <c r="L170" s="1698"/>
      <c r="M170" s="1698"/>
      <c r="N170" s="1698"/>
      <c r="O170" s="1698"/>
      <c r="P170" s="1698"/>
      <c r="Q170" s="1698"/>
      <c r="R170" s="1698"/>
      <c r="S170" s="1698"/>
      <c r="T170" s="1698"/>
      <c r="U170" s="1698"/>
      <c r="V170" s="1698"/>
      <c r="W170" s="1698"/>
      <c r="X170" s="1698"/>
      <c r="Y170" s="1698"/>
      <c r="Z170" s="1698"/>
      <c r="AA170" s="1698"/>
      <c r="AB170" s="1698"/>
      <c r="AC170" s="1698"/>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98" t="s">
        <v>1710</v>
      </c>
      <c r="F172" s="1698"/>
      <c r="G172" s="1698"/>
      <c r="H172" s="1698"/>
      <c r="I172" s="1698"/>
      <c r="J172" s="1698"/>
      <c r="K172" s="1698"/>
      <c r="L172" s="1698"/>
      <c r="M172" s="1698"/>
      <c r="N172" s="1698"/>
      <c r="O172" s="1698"/>
      <c r="P172" s="1698"/>
      <c r="Q172" s="1698"/>
      <c r="R172" s="1698"/>
      <c r="S172" s="1698"/>
      <c r="T172" s="1698"/>
      <c r="U172" s="1698"/>
      <c r="V172" s="1698"/>
      <c r="W172" s="1698"/>
      <c r="X172" s="1698"/>
      <c r="Y172" s="1698"/>
      <c r="Z172" s="1698"/>
      <c r="AA172" s="1698"/>
      <c r="AB172" s="1698"/>
      <c r="AC172" s="1698"/>
      <c r="AE172" s="340"/>
      <c r="AF172" s="1494" t="s">
        <v>61</v>
      </c>
      <c r="AG172" s="1494"/>
      <c r="AH172" s="1494"/>
      <c r="AI172" s="1494"/>
      <c r="AJ172" s="1494"/>
      <c r="AK172" s="1494"/>
      <c r="AL172" s="1494"/>
      <c r="AM172" s="20"/>
      <c r="AN172" s="279"/>
      <c r="AO172" s="26" t="s">
        <v>890</v>
      </c>
      <c r="AP172" s="4">
        <v>3</v>
      </c>
    </row>
    <row r="173" spans="1:42" s="4" customFormat="1" ht="12.75" customHeight="1">
      <c r="B173" s="5"/>
      <c r="C173" s="45"/>
      <c r="D173" s="26"/>
      <c r="E173" s="1698"/>
      <c r="F173" s="1698"/>
      <c r="G173" s="1698"/>
      <c r="H173" s="1698"/>
      <c r="I173" s="1698"/>
      <c r="J173" s="1698"/>
      <c r="K173" s="1698"/>
      <c r="L173" s="1698"/>
      <c r="M173" s="1698"/>
      <c r="N173" s="1698"/>
      <c r="O173" s="1698"/>
      <c r="P173" s="1698"/>
      <c r="Q173" s="1698"/>
      <c r="R173" s="1698"/>
      <c r="S173" s="1698"/>
      <c r="T173" s="1698"/>
      <c r="U173" s="1698"/>
      <c r="V173" s="1698"/>
      <c r="W173" s="1698"/>
      <c r="X173" s="1698"/>
      <c r="Y173" s="1698"/>
      <c r="Z173" s="1698"/>
      <c r="AA173" s="1698"/>
      <c r="AB173" s="1698"/>
      <c r="AC173" s="1698"/>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98"/>
      <c r="F174" s="1698"/>
      <c r="G174" s="1698"/>
      <c r="H174" s="1698"/>
      <c r="I174" s="1698"/>
      <c r="J174" s="1698"/>
      <c r="K174" s="1698"/>
      <c r="L174" s="1698"/>
      <c r="M174" s="1698"/>
      <c r="N174" s="1698"/>
      <c r="O174" s="1698"/>
      <c r="P174" s="1698"/>
      <c r="Q174" s="1698"/>
      <c r="R174" s="1698"/>
      <c r="S174" s="1698"/>
      <c r="T174" s="1698"/>
      <c r="U174" s="1698"/>
      <c r="V174" s="1698"/>
      <c r="W174" s="1698"/>
      <c r="X174" s="1698"/>
      <c r="Y174" s="1698"/>
      <c r="Z174" s="1698"/>
      <c r="AA174" s="1698"/>
      <c r="AB174" s="1698"/>
      <c r="AC174" s="1698"/>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8" t="s">
        <v>1471</v>
      </c>
      <c r="F176" s="1698"/>
      <c r="G176" s="1698"/>
      <c r="H176" s="1698"/>
      <c r="I176" s="1698"/>
      <c r="J176" s="1698"/>
      <c r="K176" s="1698"/>
      <c r="L176" s="1698"/>
      <c r="M176" s="1698"/>
      <c r="N176" s="1698"/>
      <c r="O176" s="1698"/>
      <c r="P176" s="1698"/>
      <c r="Q176" s="1698"/>
      <c r="R176" s="1698"/>
      <c r="S176" s="1698"/>
      <c r="T176" s="1698"/>
      <c r="U176" s="1698"/>
      <c r="V176" s="1698"/>
      <c r="W176" s="1698"/>
      <c r="X176" s="1698"/>
      <c r="Y176" s="1698"/>
      <c r="Z176" s="1698"/>
      <c r="AA176" s="1698"/>
      <c r="AB176" s="1698"/>
      <c r="AC176" s="1698"/>
      <c r="AE176" s="340"/>
      <c r="AF176" s="1494" t="s">
        <v>103</v>
      </c>
      <c r="AG176" s="1494"/>
      <c r="AH176" s="1494"/>
      <c r="AI176" s="1494"/>
      <c r="AJ176" s="1494"/>
      <c r="AK176" s="1494"/>
      <c r="AL176" s="1494"/>
      <c r="AM176" s="20"/>
      <c r="AN176" s="279"/>
      <c r="AO176" s="26" t="s">
        <v>281</v>
      </c>
      <c r="AP176" s="4">
        <v>1</v>
      </c>
    </row>
    <row r="177" spans="1:61" s="4" customFormat="1" ht="22.9" customHeight="1">
      <c r="A177" s="118"/>
      <c r="B177" s="5"/>
      <c r="C177" s="45"/>
      <c r="D177" s="26"/>
      <c r="E177" s="1698"/>
      <c r="F177" s="1698"/>
      <c r="G177" s="1698"/>
      <c r="H177" s="1698"/>
      <c r="I177" s="1698"/>
      <c r="J177" s="1698"/>
      <c r="K177" s="1698"/>
      <c r="L177" s="1698"/>
      <c r="M177" s="1698"/>
      <c r="N177" s="1698"/>
      <c r="O177" s="1698"/>
      <c r="P177" s="1698"/>
      <c r="Q177" s="1698"/>
      <c r="R177" s="1698"/>
      <c r="S177" s="1698"/>
      <c r="T177" s="1698"/>
      <c r="U177" s="1698"/>
      <c r="V177" s="1698"/>
      <c r="W177" s="1698"/>
      <c r="X177" s="1698"/>
      <c r="Y177" s="1698"/>
      <c r="Z177" s="1698"/>
      <c r="AA177" s="1698"/>
      <c r="AB177" s="1698"/>
      <c r="AC177" s="1698"/>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98" t="s">
        <v>1472</v>
      </c>
      <c r="F179" s="1698"/>
      <c r="G179" s="1698"/>
      <c r="H179" s="1698"/>
      <c r="I179" s="1698"/>
      <c r="J179" s="1698"/>
      <c r="K179" s="1698"/>
      <c r="L179" s="1698"/>
      <c r="M179" s="1698"/>
      <c r="N179" s="1698"/>
      <c r="O179" s="1698"/>
      <c r="P179" s="1698"/>
      <c r="Q179" s="1698"/>
      <c r="R179" s="1698"/>
      <c r="S179" s="1698"/>
      <c r="T179" s="1698"/>
      <c r="U179" s="1698"/>
      <c r="V179" s="1698"/>
      <c r="W179" s="1698"/>
      <c r="X179" s="1698"/>
      <c r="Y179" s="1698"/>
      <c r="Z179" s="1698"/>
      <c r="AA179" s="1698"/>
      <c r="AB179" s="1698"/>
      <c r="AC179" s="1698"/>
      <c r="AE179" s="340"/>
      <c r="AF179" s="1494" t="s">
        <v>318</v>
      </c>
      <c r="AG179" s="1494"/>
      <c r="AH179" s="1494"/>
      <c r="AI179" s="1494"/>
      <c r="AJ179" s="1494"/>
      <c r="AK179" s="1494"/>
      <c r="AL179" s="1494"/>
      <c r="AM179" s="20"/>
      <c r="AN179" s="279"/>
    </row>
    <row r="180" spans="1:61" s="4" customFormat="1" ht="22.9" customHeight="1">
      <c r="A180" s="118"/>
      <c r="B180" s="5"/>
      <c r="C180" s="45"/>
      <c r="D180" s="26"/>
      <c r="E180" s="1698"/>
      <c r="F180" s="1698"/>
      <c r="G180" s="1698"/>
      <c r="H180" s="1698"/>
      <c r="I180" s="1698"/>
      <c r="J180" s="1698"/>
      <c r="K180" s="1698"/>
      <c r="L180" s="1698"/>
      <c r="M180" s="1698"/>
      <c r="N180" s="1698"/>
      <c r="O180" s="1698"/>
      <c r="P180" s="1698"/>
      <c r="Q180" s="1698"/>
      <c r="R180" s="1698"/>
      <c r="S180" s="1698"/>
      <c r="T180" s="1698"/>
      <c r="U180" s="1698"/>
      <c r="V180" s="1698"/>
      <c r="W180" s="1698"/>
      <c r="X180" s="1698"/>
      <c r="Y180" s="1698"/>
      <c r="Z180" s="1698"/>
      <c r="AA180" s="1698"/>
      <c r="AB180" s="1698"/>
      <c r="AC180" s="1698"/>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76" t="s">
        <v>581</v>
      </c>
      <c r="I182" s="1776"/>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308">
        <f>VLOOKUP($H$182,$AO$169:$AP$176,2,FALSE)</f>
        <v>5</v>
      </c>
      <c r="AK184" s="1310"/>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926" t="s">
        <v>2285</v>
      </c>
      <c r="F188" s="1926"/>
      <c r="G188" s="1926"/>
      <c r="H188" s="1926"/>
      <c r="I188" s="1926"/>
      <c r="J188" s="1926"/>
      <c r="K188" s="1926"/>
      <c r="L188" s="1926"/>
      <c r="M188" s="1926"/>
      <c r="N188" s="1926"/>
      <c r="O188" s="1926"/>
      <c r="P188" s="1926"/>
      <c r="Q188" s="1926"/>
      <c r="R188" s="1926"/>
      <c r="S188" s="1926"/>
      <c r="T188" s="1926"/>
      <c r="U188" s="1926"/>
      <c r="V188" s="1926"/>
      <c r="W188" s="1926"/>
      <c r="X188" s="1926"/>
      <c r="Y188" s="1926"/>
      <c r="Z188" s="1926"/>
      <c r="AA188" s="1926"/>
      <c r="AB188" s="1926"/>
      <c r="AD188" s="5"/>
      <c r="AF188" s="1367" t="s">
        <v>61</v>
      </c>
      <c r="AG188" s="1367"/>
      <c r="AH188" s="1367"/>
      <c r="AI188" s="1367"/>
      <c r="AJ188" s="1367"/>
      <c r="AK188" s="1367"/>
      <c r="AL188" s="1367"/>
      <c r="AN188" s="279"/>
    </row>
    <row r="189" spans="1:61" s="4" customFormat="1" ht="12.75" customHeight="1">
      <c r="A189" s="118"/>
      <c r="B189" s="5"/>
      <c r="C189" s="128"/>
      <c r="D189" s="26"/>
      <c r="E189" s="1926"/>
      <c r="F189" s="1926"/>
      <c r="G189" s="1926"/>
      <c r="H189" s="1926"/>
      <c r="I189" s="1926"/>
      <c r="J189" s="1926"/>
      <c r="K189" s="1926"/>
      <c r="L189" s="1926"/>
      <c r="M189" s="1926"/>
      <c r="N189" s="1926"/>
      <c r="O189" s="1926"/>
      <c r="P189" s="1926"/>
      <c r="Q189" s="1926"/>
      <c r="R189" s="1926"/>
      <c r="S189" s="1926"/>
      <c r="T189" s="1926"/>
      <c r="U189" s="1926"/>
      <c r="V189" s="1926"/>
      <c r="W189" s="1926"/>
      <c r="X189" s="1926"/>
      <c r="Y189" s="1926"/>
      <c r="Z189" s="1926"/>
      <c r="AA189" s="1926"/>
      <c r="AB189" s="1926"/>
      <c r="AD189" s="5"/>
      <c r="AF189" s="1367"/>
      <c r="AG189" s="1367"/>
      <c r="AH189" s="1367"/>
      <c r="AI189" s="1367"/>
      <c r="AJ189" s="1367"/>
      <c r="AK189" s="1367"/>
      <c r="AL189" s="1367"/>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98" t="s">
        <v>2218</v>
      </c>
      <c r="F191" s="1698"/>
      <c r="G191" s="1698"/>
      <c r="H191" s="1698"/>
      <c r="I191" s="1698"/>
      <c r="J191" s="1698"/>
      <c r="K191" s="1698"/>
      <c r="L191" s="1698"/>
      <c r="M191" s="1698"/>
      <c r="N191" s="1698"/>
      <c r="O191" s="1698"/>
      <c r="P191" s="1698"/>
      <c r="Q191" s="1698"/>
      <c r="R191" s="1698"/>
      <c r="S191" s="1698"/>
      <c r="T191" s="1698"/>
      <c r="U191" s="1698"/>
      <c r="V191" s="1698"/>
      <c r="W191" s="1698"/>
      <c r="X191" s="1698"/>
      <c r="Y191" s="1698"/>
      <c r="Z191" s="1698"/>
      <c r="AA191" s="1698"/>
      <c r="AB191" s="1698"/>
      <c r="AF191" s="1494" t="s">
        <v>61</v>
      </c>
      <c r="AG191" s="1494"/>
      <c r="AH191" s="1494"/>
      <c r="AI191" s="1494"/>
      <c r="AJ191" s="1494"/>
      <c r="AK191" s="1494"/>
      <c r="AL191" s="1494"/>
      <c r="AN191" s="279"/>
      <c r="AO191" s="26" t="s">
        <v>581</v>
      </c>
      <c r="AP191" s="4">
        <v>3</v>
      </c>
    </row>
    <row r="192" spans="1:61" s="4" customFormat="1" ht="12.75" customHeight="1">
      <c r="B192" s="5"/>
      <c r="C192" s="119"/>
      <c r="E192" s="1698"/>
      <c r="F192" s="1698"/>
      <c r="G192" s="1698"/>
      <c r="H192" s="1698"/>
      <c r="I192" s="1698"/>
      <c r="J192" s="1698"/>
      <c r="K192" s="1698"/>
      <c r="L192" s="1698"/>
      <c r="M192" s="1698"/>
      <c r="N192" s="1698"/>
      <c r="O192" s="1698"/>
      <c r="P192" s="1698"/>
      <c r="Q192" s="1698"/>
      <c r="R192" s="1698"/>
      <c r="S192" s="1698"/>
      <c r="T192" s="1698"/>
      <c r="U192" s="1698"/>
      <c r="V192" s="1698"/>
      <c r="W192" s="1698"/>
      <c r="X192" s="1698"/>
      <c r="Y192" s="1698"/>
      <c r="Z192" s="1698"/>
      <c r="AA192" s="1698"/>
      <c r="AB192" s="1698"/>
      <c r="AE192" s="19"/>
      <c r="AF192" s="1494"/>
      <c r="AG192" s="1494"/>
      <c r="AH192" s="1494"/>
      <c r="AI192" s="1494"/>
      <c r="AJ192" s="1494"/>
      <c r="AK192" s="1494"/>
      <c r="AL192" s="1494"/>
      <c r="AN192" s="279"/>
      <c r="AO192" s="26" t="s">
        <v>197</v>
      </c>
      <c r="AP192" s="26">
        <f>3*$AO$197</f>
        <v>3</v>
      </c>
    </row>
    <row r="193" spans="1:53" s="4" customFormat="1" ht="12.75" customHeight="1">
      <c r="B193" s="5"/>
      <c r="C193" s="119"/>
      <c r="E193" s="1698"/>
      <c r="F193" s="1698"/>
      <c r="G193" s="1698"/>
      <c r="H193" s="1698"/>
      <c r="I193" s="1698"/>
      <c r="J193" s="1698"/>
      <c r="K193" s="1698"/>
      <c r="L193" s="1698"/>
      <c r="M193" s="1698"/>
      <c r="N193" s="1698"/>
      <c r="O193" s="1698"/>
      <c r="P193" s="1698"/>
      <c r="Q193" s="1698"/>
      <c r="R193" s="1698"/>
      <c r="S193" s="1698"/>
      <c r="T193" s="1698"/>
      <c r="U193" s="1698"/>
      <c r="V193" s="1698"/>
      <c r="W193" s="1698"/>
      <c r="X193" s="1698"/>
      <c r="Y193" s="1698"/>
      <c r="Z193" s="1698"/>
      <c r="AA193" s="1698"/>
      <c r="AB193" s="1698"/>
      <c r="AE193" s="19"/>
      <c r="AF193" s="100"/>
      <c r="AG193" s="19"/>
      <c r="AH193" s="19"/>
      <c r="AI193" s="19"/>
      <c r="AJ193" s="19"/>
      <c r="AK193" s="19"/>
      <c r="AL193" s="19"/>
      <c r="AN193" s="279"/>
      <c r="AO193" s="4" t="s">
        <v>890</v>
      </c>
      <c r="AP193" s="26">
        <f>2*$AO$197</f>
        <v>2</v>
      </c>
    </row>
    <row r="194" spans="1:53" s="4" customFormat="1" ht="6.75" customHeight="1">
      <c r="B194" s="5"/>
      <c r="C194" s="119"/>
      <c r="E194" s="1698"/>
      <c r="F194" s="1698"/>
      <c r="G194" s="1698"/>
      <c r="H194" s="1698"/>
      <c r="I194" s="1698"/>
      <c r="J194" s="1698"/>
      <c r="K194" s="1698"/>
      <c r="L194" s="1698"/>
      <c r="M194" s="1698"/>
      <c r="N194" s="1698"/>
      <c r="O194" s="1698"/>
      <c r="P194" s="1698"/>
      <c r="Q194" s="1698"/>
      <c r="R194" s="1698"/>
      <c r="S194" s="1698"/>
      <c r="T194" s="1698"/>
      <c r="U194" s="1698"/>
      <c r="V194" s="1698"/>
      <c r="W194" s="1698"/>
      <c r="X194" s="1698"/>
      <c r="Y194" s="1698"/>
      <c r="Z194" s="1698"/>
      <c r="AA194" s="1698"/>
      <c r="AB194" s="1698"/>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98" t="s">
        <v>2219</v>
      </c>
      <c r="F196" s="1698"/>
      <c r="G196" s="1698"/>
      <c r="H196" s="1698"/>
      <c r="I196" s="1698"/>
      <c r="J196" s="1698"/>
      <c r="K196" s="1698"/>
      <c r="L196" s="1698"/>
      <c r="M196" s="1698"/>
      <c r="N196" s="1698"/>
      <c r="O196" s="1698"/>
      <c r="P196" s="1698"/>
      <c r="Q196" s="1698"/>
      <c r="R196" s="1698"/>
      <c r="S196" s="1698"/>
      <c r="T196" s="1698"/>
      <c r="U196" s="1698"/>
      <c r="V196" s="1698"/>
      <c r="W196" s="1698"/>
      <c r="X196" s="1698"/>
      <c r="Y196" s="1698"/>
      <c r="Z196" s="1698"/>
      <c r="AA196" s="1698"/>
      <c r="AB196" s="1698"/>
      <c r="AF196" s="1494" t="s">
        <v>103</v>
      </c>
      <c r="AG196" s="1494"/>
      <c r="AH196" s="1494"/>
      <c r="AI196" s="1494"/>
      <c r="AJ196" s="1494"/>
      <c r="AK196" s="1494"/>
      <c r="AL196" s="1494"/>
      <c r="AN196" s="279"/>
      <c r="AY196" s="4" t="s">
        <v>2220</v>
      </c>
      <c r="AZ196" s="955">
        <f>Application!S215</f>
        <v>0</v>
      </c>
    </row>
    <row r="197" spans="1:53" s="4" customFormat="1" ht="12.75" customHeight="1">
      <c r="B197" s="5"/>
      <c r="C197" s="45"/>
      <c r="E197" s="1698"/>
      <c r="F197" s="1698"/>
      <c r="G197" s="1698"/>
      <c r="H197" s="1698"/>
      <c r="I197" s="1698"/>
      <c r="J197" s="1698"/>
      <c r="K197" s="1698"/>
      <c r="L197" s="1698"/>
      <c r="M197" s="1698"/>
      <c r="N197" s="1698"/>
      <c r="O197" s="1698"/>
      <c r="P197" s="1698"/>
      <c r="Q197" s="1698"/>
      <c r="R197" s="1698"/>
      <c r="S197" s="1698"/>
      <c r="T197" s="1698"/>
      <c r="U197" s="1698"/>
      <c r="V197" s="1698"/>
      <c r="W197" s="1698"/>
      <c r="X197" s="1698"/>
      <c r="Y197" s="1698"/>
      <c r="Z197" s="1698"/>
      <c r="AA197" s="1698"/>
      <c r="AB197" s="1698"/>
      <c r="AD197" s="5"/>
      <c r="AE197" s="19"/>
      <c r="AF197" s="1494"/>
      <c r="AG197" s="1494"/>
      <c r="AH197" s="1494"/>
      <c r="AI197" s="1494"/>
      <c r="AJ197" s="1494"/>
      <c r="AK197" s="1494"/>
      <c r="AL197" s="1494"/>
      <c r="AN197" s="279"/>
      <c r="AO197" s="125" t="b">
        <f>IF(OR(Application!D214="Special Needs",Application!D211="At-Risk and Special Needs"),IF(BA203&gt;=0.25,TRUE,FALSE),IF(AZ203&gt;=0.25,TRUE,FALSE))</f>
        <v>1</v>
      </c>
      <c r="AY197" s="4" t="s">
        <v>2221</v>
      </c>
      <c r="AZ197" s="955">
        <f>Application!G738</f>
        <v>49</v>
      </c>
    </row>
    <row r="198" spans="1:53" s="4" customFormat="1" ht="12.75" customHeight="1">
      <c r="B198" s="5"/>
      <c r="C198" s="45"/>
      <c r="E198" s="1698"/>
      <c r="F198" s="1698"/>
      <c r="G198" s="1698"/>
      <c r="H198" s="1698"/>
      <c r="I198" s="1698"/>
      <c r="J198" s="1698"/>
      <c r="K198" s="1698"/>
      <c r="L198" s="1698"/>
      <c r="M198" s="1698"/>
      <c r="N198" s="1698"/>
      <c r="O198" s="1698"/>
      <c r="P198" s="1698"/>
      <c r="Q198" s="1698"/>
      <c r="R198" s="1698"/>
      <c r="S198" s="1698"/>
      <c r="T198" s="1698"/>
      <c r="U198" s="1698"/>
      <c r="V198" s="1698"/>
      <c r="W198" s="1698"/>
      <c r="X198" s="1698"/>
      <c r="Y198" s="1698"/>
      <c r="Z198" s="1698"/>
      <c r="AA198" s="1698"/>
      <c r="AB198" s="1698"/>
      <c r="AD198" s="5"/>
      <c r="AE198" s="19"/>
      <c r="AN198" s="279"/>
      <c r="AY198" s="4" t="s">
        <v>2223</v>
      </c>
      <c r="AZ198" s="4">
        <f>Application!CC634</f>
        <v>13</v>
      </c>
    </row>
    <row r="199" spans="1:53" customFormat="1" ht="12.75" customHeight="1">
      <c r="A199" s="4"/>
      <c r="B199" s="5"/>
      <c r="C199" s="45"/>
      <c r="D199" s="4"/>
      <c r="E199" s="1698"/>
      <c r="F199" s="1698"/>
      <c r="G199" s="1698"/>
      <c r="H199" s="1698"/>
      <c r="I199" s="1698"/>
      <c r="J199" s="1698"/>
      <c r="K199" s="1698"/>
      <c r="L199" s="1698"/>
      <c r="M199" s="1698"/>
      <c r="N199" s="1698"/>
      <c r="O199" s="1698"/>
      <c r="P199" s="1698"/>
      <c r="Q199" s="1698"/>
      <c r="R199" s="1698"/>
      <c r="S199" s="1698"/>
      <c r="T199" s="1698"/>
      <c r="U199" s="1698"/>
      <c r="V199" s="1698"/>
      <c r="W199" s="1698"/>
      <c r="X199" s="1698"/>
      <c r="Y199" s="1698"/>
      <c r="Z199" s="1698"/>
      <c r="AA199" s="1698"/>
      <c r="AB199" s="1698"/>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75" t="s">
        <v>2275</v>
      </c>
      <c r="F201" s="1775"/>
      <c r="G201" s="1775"/>
      <c r="H201" s="1775"/>
      <c r="I201" s="1775"/>
      <c r="J201" s="1775"/>
      <c r="K201" s="1775"/>
      <c r="L201" s="1775"/>
      <c r="M201" s="1775"/>
      <c r="N201" s="1775"/>
      <c r="O201" s="1775"/>
      <c r="P201" s="1775"/>
      <c r="Q201" s="1775"/>
      <c r="R201" s="1775"/>
      <c r="S201" s="1775"/>
      <c r="T201" s="1775"/>
      <c r="U201" s="1775"/>
      <c r="V201" s="1775"/>
      <c r="W201" s="1775"/>
      <c r="X201" s="1775"/>
      <c r="Y201" s="1775"/>
      <c r="Z201" s="1775"/>
      <c r="AA201" s="1775"/>
      <c r="AB201" s="1775"/>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75"/>
      <c r="F202" s="1775"/>
      <c r="G202" s="1775"/>
      <c r="H202" s="1775"/>
      <c r="I202" s="1775"/>
      <c r="J202" s="1775"/>
      <c r="K202" s="1775"/>
      <c r="L202" s="1775"/>
      <c r="M202" s="1775"/>
      <c r="N202" s="1775"/>
      <c r="O202" s="1775"/>
      <c r="P202" s="1775"/>
      <c r="Q202" s="1775"/>
      <c r="R202" s="1775"/>
      <c r="S202" s="1775"/>
      <c r="T202" s="1775"/>
      <c r="U202" s="1775"/>
      <c r="V202" s="1775"/>
      <c r="W202" s="1775"/>
      <c r="X202" s="1775"/>
      <c r="Y202" s="1775"/>
      <c r="Z202" s="1775"/>
      <c r="AA202" s="1775"/>
      <c r="AB202" s="1775"/>
      <c r="AC202" s="4"/>
      <c r="AD202" s="5"/>
      <c r="AE202" s="19"/>
      <c r="AF202" s="19"/>
      <c r="AG202" s="19"/>
      <c r="AH202" s="19"/>
      <c r="AI202" s="19"/>
      <c r="AJ202" s="4"/>
      <c r="AK202" s="4"/>
      <c r="AL202" s="4"/>
      <c r="AM202" s="4"/>
      <c r="AN202" s="202"/>
      <c r="AY202" s="4" t="s">
        <v>2226</v>
      </c>
      <c r="AZ202">
        <f>AZ198+AZ199+AZ201</f>
        <v>13</v>
      </c>
    </row>
    <row r="203" spans="1:53" customFormat="1" ht="18" customHeight="1">
      <c r="A203" s="4"/>
      <c r="B203" s="5"/>
      <c r="C203" s="45"/>
      <c r="D203" s="4"/>
      <c r="E203" s="1775"/>
      <c r="F203" s="1775"/>
      <c r="G203" s="1775"/>
      <c r="H203" s="1775"/>
      <c r="I203" s="1775"/>
      <c r="J203" s="1775"/>
      <c r="K203" s="1775"/>
      <c r="L203" s="1775"/>
      <c r="M203" s="1775"/>
      <c r="N203" s="1775"/>
      <c r="O203" s="1775"/>
      <c r="P203" s="1775"/>
      <c r="Q203" s="1775"/>
      <c r="R203" s="1775"/>
      <c r="S203" s="1775"/>
      <c r="T203" s="1775"/>
      <c r="U203" s="1775"/>
      <c r="V203" s="1775"/>
      <c r="W203" s="1775"/>
      <c r="X203" s="1775"/>
      <c r="Y203" s="1775"/>
      <c r="Z203" s="1775"/>
      <c r="AA203" s="1775"/>
      <c r="AB203" s="1775"/>
      <c r="AC203" s="4"/>
      <c r="AD203" s="5"/>
      <c r="AE203" s="19"/>
      <c r="AF203" s="19"/>
      <c r="AG203" s="19"/>
      <c r="AH203" s="19"/>
      <c r="AI203" s="19"/>
      <c r="AJ203" s="4"/>
      <c r="AK203" s="4"/>
      <c r="AL203" s="4"/>
      <c r="AM203" s="4"/>
      <c r="AN203" s="202"/>
      <c r="AY203" s="4" t="s">
        <v>2227</v>
      </c>
      <c r="AZ203">
        <f>IFERROR(AZ202/AZ197,0)</f>
        <v>0.26530612244897961</v>
      </c>
      <c r="BA203">
        <f>IFERROR(AZ202/(AZ197-AZ196),0)</f>
        <v>0.26530612244897961</v>
      </c>
    </row>
    <row r="204" spans="1:53" customFormat="1" ht="12.75" customHeight="1">
      <c r="A204" s="4"/>
      <c r="B204" s="5"/>
      <c r="C204" s="45"/>
      <c r="D204" s="4" t="s">
        <v>147</v>
      </c>
      <c r="E204" s="114"/>
      <c r="F204" s="114"/>
      <c r="G204" s="114"/>
      <c r="H204" s="1776" t="s">
        <v>197</v>
      </c>
      <c r="I204" s="1776"/>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308">
        <f>VLOOKUP($H$204,$AO$190:$AP$193,2,FALSE)</f>
        <v>3</v>
      </c>
      <c r="AK206" s="1310"/>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925" t="s">
        <v>1254</v>
      </c>
      <c r="F210" s="1925"/>
      <c r="G210" s="1925"/>
      <c r="H210" s="1925"/>
      <c r="I210" s="1925"/>
      <c r="J210" s="1925"/>
      <c r="K210" s="1925"/>
      <c r="L210" s="1925"/>
      <c r="M210" s="1925"/>
      <c r="N210" s="1925"/>
      <c r="O210" s="1925"/>
      <c r="P210" s="1925"/>
      <c r="Q210" s="1925"/>
      <c r="R210" s="1925"/>
      <c r="S210" s="1925"/>
      <c r="T210" s="1925"/>
      <c r="U210" s="1925"/>
      <c r="V210" s="1925"/>
      <c r="W210" s="1925"/>
      <c r="X210" s="1925"/>
      <c r="Y210" s="1925"/>
      <c r="Z210" s="1925"/>
      <c r="AA210" s="1925"/>
      <c r="AB210" s="1925"/>
      <c r="AC210" s="4"/>
      <c r="AD210" s="4"/>
      <c r="AF210" s="1731" t="s">
        <v>61</v>
      </c>
      <c r="AG210" s="1731"/>
      <c r="AH210" s="1731"/>
      <c r="AI210" s="1731"/>
      <c r="AJ210" s="1731"/>
      <c r="AK210" s="1731"/>
      <c r="AL210" s="1731"/>
      <c r="AM210" s="4"/>
      <c r="AN210" s="202"/>
      <c r="AO210" s="4" t="s">
        <v>124</v>
      </c>
      <c r="AP210" s="469">
        <v>0</v>
      </c>
    </row>
    <row r="211" spans="1:52" customFormat="1" ht="11.85" customHeight="1">
      <c r="A211" s="4"/>
      <c r="B211" s="5"/>
      <c r="C211" s="113"/>
      <c r="D211" s="26"/>
      <c r="E211" s="1925"/>
      <c r="F211" s="1925"/>
      <c r="G211" s="1925"/>
      <c r="H211" s="1925"/>
      <c r="I211" s="1925"/>
      <c r="J211" s="1925"/>
      <c r="K211" s="1925"/>
      <c r="L211" s="1925"/>
      <c r="M211" s="1925"/>
      <c r="N211" s="1925"/>
      <c r="O211" s="1925"/>
      <c r="P211" s="1925"/>
      <c r="Q211" s="1925"/>
      <c r="R211" s="1925"/>
      <c r="S211" s="1925"/>
      <c r="T211" s="1925"/>
      <c r="U211" s="1925"/>
      <c r="V211" s="1925"/>
      <c r="W211" s="1925"/>
      <c r="X211" s="1925"/>
      <c r="Y211" s="1925"/>
      <c r="Z211" s="1925"/>
      <c r="AA211" s="1925"/>
      <c r="AB211" s="1925"/>
      <c r="AC211" s="4"/>
      <c r="AD211" s="4"/>
      <c r="AE211" s="4"/>
      <c r="AM211" s="4"/>
      <c r="AN211" s="202"/>
      <c r="AO211" s="26" t="s">
        <v>581</v>
      </c>
      <c r="AP211" s="4">
        <v>3</v>
      </c>
    </row>
    <row r="212" spans="1:52" customFormat="1" ht="13.9" customHeight="1">
      <c r="A212" s="4"/>
      <c r="B212" s="42"/>
      <c r="C212" s="45"/>
      <c r="D212" s="26"/>
      <c r="E212" s="1925"/>
      <c r="F212" s="1925"/>
      <c r="G212" s="1925"/>
      <c r="H212" s="1925"/>
      <c r="I212" s="1925"/>
      <c r="J212" s="1925"/>
      <c r="K212" s="1925"/>
      <c r="L212" s="1925"/>
      <c r="M212" s="1925"/>
      <c r="N212" s="1925"/>
      <c r="O212" s="1925"/>
      <c r="P212" s="1925"/>
      <c r="Q212" s="1925"/>
      <c r="R212" s="1925"/>
      <c r="S212" s="1925"/>
      <c r="T212" s="1925"/>
      <c r="U212" s="1925"/>
      <c r="V212" s="1925"/>
      <c r="W212" s="1925"/>
      <c r="X212" s="1925"/>
      <c r="Y212" s="1925"/>
      <c r="Z212" s="1925"/>
      <c r="AA212" s="1925"/>
      <c r="AB212" s="1925"/>
      <c r="AC212" s="4"/>
      <c r="AD212" s="4"/>
      <c r="AE212" s="19"/>
      <c r="AM212" s="4"/>
      <c r="AN212" s="202"/>
      <c r="AO212" s="26" t="s">
        <v>197</v>
      </c>
      <c r="AP212" s="4">
        <v>2</v>
      </c>
    </row>
    <row r="213" spans="1:52" customFormat="1" ht="13.9" customHeight="1">
      <c r="A213" s="4"/>
      <c r="B213" s="5"/>
      <c r="C213" s="45"/>
      <c r="D213" s="26" t="s">
        <v>197</v>
      </c>
      <c r="E213" s="1923" t="s">
        <v>1255</v>
      </c>
      <c r="F213" s="1923"/>
      <c r="G213" s="1923"/>
      <c r="H213" s="1923"/>
      <c r="I213" s="1923"/>
      <c r="J213" s="1923"/>
      <c r="K213" s="1923"/>
      <c r="L213" s="1923"/>
      <c r="M213" s="1923"/>
      <c r="N213" s="1923"/>
      <c r="O213" s="1923"/>
      <c r="P213" s="1923"/>
      <c r="Q213" s="1923"/>
      <c r="R213" s="1923"/>
      <c r="S213" s="1923"/>
      <c r="T213" s="1923"/>
      <c r="U213" s="1923"/>
      <c r="V213" s="1923"/>
      <c r="W213" s="1923"/>
      <c r="X213" s="1923"/>
      <c r="Y213" s="1923"/>
      <c r="Z213" s="1923"/>
      <c r="AA213" s="1923"/>
      <c r="AB213" s="1923"/>
      <c r="AC213" s="4"/>
      <c r="AD213" s="4"/>
      <c r="AF213" s="1731" t="s">
        <v>103</v>
      </c>
      <c r="AG213" s="1731"/>
      <c r="AH213" s="1731"/>
      <c r="AI213" s="1731"/>
      <c r="AJ213" s="1731"/>
      <c r="AK213" s="1731"/>
      <c r="AL213" s="1731"/>
      <c r="AM213" s="4"/>
      <c r="AN213" s="670"/>
      <c r="AP213" s="21"/>
    </row>
    <row r="214" spans="1:52" customFormat="1" ht="12.75" customHeight="1">
      <c r="A214" s="4"/>
      <c r="B214" s="5"/>
      <c r="C214" s="113"/>
      <c r="D214" s="4"/>
      <c r="E214" s="1923"/>
      <c r="F214" s="1923"/>
      <c r="G214" s="1923"/>
      <c r="H214" s="1923"/>
      <c r="I214" s="1923"/>
      <c r="J214" s="1923"/>
      <c r="K214" s="1923"/>
      <c r="L214" s="1923"/>
      <c r="M214" s="1923"/>
      <c r="N214" s="1923"/>
      <c r="O214" s="1923"/>
      <c r="P214" s="1923"/>
      <c r="Q214" s="1923"/>
      <c r="R214" s="1923"/>
      <c r="S214" s="1923"/>
      <c r="T214" s="1923"/>
      <c r="U214" s="1923"/>
      <c r="V214" s="1923"/>
      <c r="W214" s="1923"/>
      <c r="X214" s="1923"/>
      <c r="Y214" s="1923"/>
      <c r="Z214" s="1923"/>
      <c r="AA214" s="1923"/>
      <c r="AB214" s="1923"/>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923"/>
      <c r="F215" s="1923"/>
      <c r="G215" s="1923"/>
      <c r="H215" s="1923"/>
      <c r="I215" s="1923"/>
      <c r="J215" s="1923"/>
      <c r="K215" s="1923"/>
      <c r="L215" s="1923"/>
      <c r="M215" s="1923"/>
      <c r="N215" s="1923"/>
      <c r="O215" s="1923"/>
      <c r="P215" s="1923"/>
      <c r="Q215" s="1923"/>
      <c r="R215" s="1923"/>
      <c r="S215" s="1923"/>
      <c r="T215" s="1923"/>
      <c r="U215" s="1923"/>
      <c r="V215" s="1923"/>
      <c r="W215" s="1923"/>
      <c r="X215" s="1923"/>
      <c r="Y215" s="1923"/>
      <c r="Z215" s="1923"/>
      <c r="AA215" s="1923"/>
      <c r="AB215" s="1923"/>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76" t="s">
        <v>124</v>
      </c>
      <c r="I216" s="1776"/>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308">
        <f>VLOOKUP($H$216,$AO$210:$AP$212,2,FALSE)</f>
        <v>0</v>
      </c>
      <c r="AK218" s="1310"/>
      <c r="AL218" s="10"/>
      <c r="AM218" s="4"/>
      <c r="AN218" s="202"/>
      <c r="AP218" s="1308"/>
      <c r="AQ218" s="1310"/>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98" t="s">
        <v>1488</v>
      </c>
      <c r="F222" s="1698"/>
      <c r="G222" s="1698"/>
      <c r="H222" s="1698"/>
      <c r="I222" s="1698"/>
      <c r="J222" s="1698"/>
      <c r="K222" s="1698"/>
      <c r="L222" s="1698"/>
      <c r="M222" s="1698"/>
      <c r="N222" s="1698"/>
      <c r="O222" s="1698"/>
      <c r="P222" s="1698"/>
      <c r="Q222" s="1698"/>
      <c r="R222" s="1698"/>
      <c r="S222" s="1698"/>
      <c r="T222" s="1698"/>
      <c r="U222" s="1698"/>
      <c r="V222" s="1698"/>
      <c r="W222" s="1698"/>
      <c r="X222" s="1698"/>
      <c r="Y222" s="1698"/>
      <c r="Z222" s="1698"/>
      <c r="AA222" s="1698"/>
      <c r="AB222" s="1698"/>
      <c r="AC222" s="4"/>
      <c r="AD222" s="4"/>
      <c r="AF222" s="1731" t="s">
        <v>61</v>
      </c>
      <c r="AG222" s="1731"/>
      <c r="AH222" s="1731"/>
      <c r="AI222" s="1731"/>
      <c r="AJ222" s="1731"/>
      <c r="AK222" s="1731"/>
      <c r="AL222" s="1731"/>
      <c r="AM222" s="4"/>
      <c r="AN222" s="202"/>
      <c r="AO222" s="38"/>
      <c r="AP222" s="21"/>
      <c r="AT222" s="21"/>
      <c r="AU222" s="21"/>
      <c r="AV222" s="21"/>
      <c r="AW222" s="21"/>
      <c r="AX222" s="21"/>
      <c r="AY222" s="21"/>
      <c r="AZ222" s="21"/>
    </row>
    <row r="223" spans="1:52" customFormat="1">
      <c r="A223" s="4"/>
      <c r="B223" s="5"/>
      <c r="C223" s="113"/>
      <c r="D223" s="26"/>
      <c r="E223" s="1698"/>
      <c r="F223" s="1698"/>
      <c r="G223" s="1698"/>
      <c r="H223" s="1698"/>
      <c r="I223" s="1698"/>
      <c r="J223" s="1698"/>
      <c r="K223" s="1698"/>
      <c r="L223" s="1698"/>
      <c r="M223" s="1698"/>
      <c r="N223" s="1698"/>
      <c r="O223" s="1698"/>
      <c r="P223" s="1698"/>
      <c r="Q223" s="1698"/>
      <c r="R223" s="1698"/>
      <c r="S223" s="1698"/>
      <c r="T223" s="1698"/>
      <c r="U223" s="1698"/>
      <c r="V223" s="1698"/>
      <c r="W223" s="1698"/>
      <c r="X223" s="1698"/>
      <c r="Y223" s="1698"/>
      <c r="Z223" s="1698"/>
      <c r="AA223" s="1698"/>
      <c r="AB223" s="1698"/>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98" t="s">
        <v>882</v>
      </c>
      <c r="F225" s="1698"/>
      <c r="G225" s="1698"/>
      <c r="H225" s="1698"/>
      <c r="I225" s="1698"/>
      <c r="J225" s="1698"/>
      <c r="K225" s="1698"/>
      <c r="L225" s="1698"/>
      <c r="M225" s="1698"/>
      <c r="N225" s="1698"/>
      <c r="O225" s="1698"/>
      <c r="P225" s="1698"/>
      <c r="Q225" s="1698"/>
      <c r="R225" s="1698"/>
      <c r="S225" s="1698"/>
      <c r="T225" s="1698"/>
      <c r="U225" s="1698"/>
      <c r="V225" s="1698"/>
      <c r="W225" s="1698"/>
      <c r="X225" s="1698"/>
      <c r="Y225" s="1698"/>
      <c r="Z225" s="1698"/>
      <c r="AA225" s="1698"/>
      <c r="AB225" s="1698"/>
      <c r="AC225" s="4"/>
      <c r="AD225" s="4"/>
      <c r="AF225" s="1731" t="s">
        <v>103</v>
      </c>
      <c r="AG225" s="1731"/>
      <c r="AH225" s="1731"/>
      <c r="AI225" s="1731"/>
      <c r="AJ225" s="1731"/>
      <c r="AK225" s="1731"/>
      <c r="AL225" s="1731"/>
      <c r="AM225" s="4"/>
      <c r="AN225" s="202"/>
      <c r="AO225" s="4" t="s">
        <v>124</v>
      </c>
      <c r="AP225" s="469">
        <v>0</v>
      </c>
      <c r="AT225" s="21"/>
      <c r="AU225" s="21"/>
      <c r="AV225" s="21"/>
      <c r="AW225" s="21"/>
      <c r="AX225" s="21"/>
      <c r="AY225" s="21"/>
      <c r="AZ225" s="21"/>
    </row>
    <row r="226" spans="1:82" customFormat="1">
      <c r="A226" s="4"/>
      <c r="B226" s="5"/>
      <c r="C226" s="113"/>
      <c r="D226" s="4"/>
      <c r="E226" s="1698"/>
      <c r="F226" s="1698"/>
      <c r="G226" s="1698"/>
      <c r="H226" s="1698"/>
      <c r="I226" s="1698"/>
      <c r="J226" s="1698"/>
      <c r="K226" s="1698"/>
      <c r="L226" s="1698"/>
      <c r="M226" s="1698"/>
      <c r="N226" s="1698"/>
      <c r="O226" s="1698"/>
      <c r="P226" s="1698"/>
      <c r="Q226" s="1698"/>
      <c r="R226" s="1698"/>
      <c r="S226" s="1698"/>
      <c r="T226" s="1698"/>
      <c r="U226" s="1698"/>
      <c r="V226" s="1698"/>
      <c r="W226" s="1698"/>
      <c r="X226" s="1698"/>
      <c r="Y226" s="1698"/>
      <c r="Z226" s="1698"/>
      <c r="AA226" s="1698"/>
      <c r="AB226" s="1698"/>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76" t="s">
        <v>124</v>
      </c>
      <c r="I228" s="1776"/>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308">
        <f>VLOOKUP($H$228,$AO$225:$AP$227,2,FALSE)</f>
        <v>0</v>
      </c>
      <c r="AK230" s="1310"/>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98" t="s">
        <v>1123</v>
      </c>
      <c r="F234" s="1698"/>
      <c r="G234" s="1698"/>
      <c r="H234" s="1698"/>
      <c r="I234" s="1698"/>
      <c r="J234" s="1698"/>
      <c r="K234" s="1698"/>
      <c r="L234" s="1698"/>
      <c r="M234" s="1698"/>
      <c r="N234" s="1698"/>
      <c r="O234" s="1698"/>
      <c r="P234" s="1698"/>
      <c r="Q234" s="1698"/>
      <c r="R234" s="1698"/>
      <c r="S234" s="1698"/>
      <c r="T234" s="1698"/>
      <c r="U234" s="1698"/>
      <c r="V234" s="1698"/>
      <c r="W234" s="1698"/>
      <c r="X234" s="1698"/>
      <c r="Y234" s="1698"/>
      <c r="Z234" s="1698"/>
      <c r="AA234" s="1698"/>
      <c r="AB234" s="1698"/>
      <c r="AC234" s="4"/>
      <c r="AD234" s="4"/>
      <c r="AF234" s="1731" t="s">
        <v>61</v>
      </c>
      <c r="AG234" s="1731"/>
      <c r="AH234" s="1731"/>
      <c r="AI234" s="1731"/>
      <c r="AJ234" s="1731"/>
      <c r="AK234" s="1731"/>
      <c r="AL234" s="1731"/>
      <c r="AM234" s="4"/>
      <c r="AN234" s="202"/>
      <c r="AT234" s="21"/>
      <c r="AU234" s="21"/>
      <c r="AV234" s="21"/>
      <c r="AW234" s="21"/>
      <c r="AX234" s="21"/>
      <c r="AY234" s="21"/>
      <c r="AZ234" s="21"/>
    </row>
    <row r="235" spans="1:82" customFormat="1">
      <c r="A235" s="4"/>
      <c r="B235" s="5"/>
      <c r="C235" s="113"/>
      <c r="D235" s="26"/>
      <c r="E235" s="1698"/>
      <c r="F235" s="1698"/>
      <c r="G235" s="1698"/>
      <c r="H235" s="1698"/>
      <c r="I235" s="1698"/>
      <c r="J235" s="1698"/>
      <c r="K235" s="1698"/>
      <c r="L235" s="1698"/>
      <c r="M235" s="1698"/>
      <c r="N235" s="1698"/>
      <c r="O235" s="1698"/>
      <c r="P235" s="1698"/>
      <c r="Q235" s="1698"/>
      <c r="R235" s="1698"/>
      <c r="S235" s="1698"/>
      <c r="T235" s="1698"/>
      <c r="U235" s="1698"/>
      <c r="V235" s="1698"/>
      <c r="W235" s="1698"/>
      <c r="X235" s="1698"/>
      <c r="Y235" s="1698"/>
      <c r="Z235" s="1698"/>
      <c r="AA235" s="1698"/>
      <c r="AB235" s="1698"/>
      <c r="AC235" s="4"/>
      <c r="AD235" s="4"/>
      <c r="AL235" s="4"/>
      <c r="AM235" s="4"/>
      <c r="AN235" s="202"/>
    </row>
    <row r="236" spans="1:82" customFormat="1" ht="12.75" customHeight="1">
      <c r="A236" s="4"/>
      <c r="B236" s="5"/>
      <c r="C236" s="113"/>
      <c r="D236" s="26"/>
      <c r="E236" s="1698"/>
      <c r="F236" s="1698"/>
      <c r="G236" s="1698"/>
      <c r="H236" s="1698"/>
      <c r="I236" s="1698"/>
      <c r="J236" s="1698"/>
      <c r="K236" s="1698"/>
      <c r="L236" s="1698"/>
      <c r="M236" s="1698"/>
      <c r="N236" s="1698"/>
      <c r="O236" s="1698"/>
      <c r="P236" s="1698"/>
      <c r="Q236" s="1698"/>
      <c r="R236" s="1698"/>
      <c r="S236" s="1698"/>
      <c r="T236" s="1698"/>
      <c r="U236" s="1698"/>
      <c r="V236" s="1698"/>
      <c r="W236" s="1698"/>
      <c r="X236" s="1698"/>
      <c r="Y236" s="1698"/>
      <c r="Z236" s="1698"/>
      <c r="AA236" s="1698"/>
      <c r="AB236" s="1698"/>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98" t="s">
        <v>1124</v>
      </c>
      <c r="F238" s="1698"/>
      <c r="G238" s="1698"/>
      <c r="H238" s="1698"/>
      <c r="I238" s="1698"/>
      <c r="J238" s="1698"/>
      <c r="K238" s="1698"/>
      <c r="L238" s="1698"/>
      <c r="M238" s="1698"/>
      <c r="N238" s="1698"/>
      <c r="O238" s="1698"/>
      <c r="P238" s="1698"/>
      <c r="Q238" s="1698"/>
      <c r="R238" s="1698"/>
      <c r="S238" s="1698"/>
      <c r="T238" s="1698"/>
      <c r="U238" s="1698"/>
      <c r="V238" s="1698"/>
      <c r="W238" s="1698"/>
      <c r="X238" s="1698"/>
      <c r="Y238" s="1698"/>
      <c r="Z238" s="1698"/>
      <c r="AA238" s="1698"/>
      <c r="AB238" s="341"/>
      <c r="AC238" s="4"/>
      <c r="AD238" s="4"/>
      <c r="AF238" s="1731" t="s">
        <v>103</v>
      </c>
      <c r="AG238" s="1731"/>
      <c r="AH238" s="1731"/>
      <c r="AI238" s="1731"/>
      <c r="AJ238" s="1731"/>
      <c r="AK238" s="1731"/>
      <c r="AL238" s="1731"/>
      <c r="AM238" s="4"/>
      <c r="AN238" s="202"/>
      <c r="AO238" s="38"/>
      <c r="AP238" s="21"/>
    </row>
    <row r="239" spans="1:82" customFormat="1">
      <c r="A239" s="4"/>
      <c r="B239" s="5"/>
      <c r="C239" s="45"/>
      <c r="D239" s="4"/>
      <c r="E239" s="1698"/>
      <c r="F239" s="1698"/>
      <c r="G239" s="1698"/>
      <c r="H239" s="1698"/>
      <c r="I239" s="1698"/>
      <c r="J239" s="1698"/>
      <c r="K239" s="1698"/>
      <c r="L239" s="1698"/>
      <c r="M239" s="1698"/>
      <c r="N239" s="1698"/>
      <c r="O239" s="1698"/>
      <c r="P239" s="1698"/>
      <c r="Q239" s="1698"/>
      <c r="R239" s="1698"/>
      <c r="S239" s="1698"/>
      <c r="T239" s="1698"/>
      <c r="U239" s="1698"/>
      <c r="V239" s="1698"/>
      <c r="W239" s="1698"/>
      <c r="X239" s="1698"/>
      <c r="Y239" s="1698"/>
      <c r="Z239" s="1698"/>
      <c r="AA239" s="1698"/>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98"/>
      <c r="F240" s="1698"/>
      <c r="G240" s="1698"/>
      <c r="H240" s="1698"/>
      <c r="I240" s="1698"/>
      <c r="J240" s="1698"/>
      <c r="K240" s="1698"/>
      <c r="L240" s="1698"/>
      <c r="M240" s="1698"/>
      <c r="N240" s="1698"/>
      <c r="O240" s="1698"/>
      <c r="P240" s="1698"/>
      <c r="Q240" s="1698"/>
      <c r="R240" s="1698"/>
      <c r="S240" s="1698"/>
      <c r="T240" s="1698"/>
      <c r="U240" s="1698"/>
      <c r="V240" s="1698"/>
      <c r="W240" s="1698"/>
      <c r="X240" s="1698"/>
      <c r="Y240" s="1698"/>
      <c r="Z240" s="1698"/>
      <c r="AA240" s="1698"/>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76" t="s">
        <v>581</v>
      </c>
      <c r="I242" s="1776"/>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308">
        <f>VLOOKUP($H$242,$AO$225:$AP$227,2,FALSE)</f>
        <v>3</v>
      </c>
      <c r="AK244" s="1310"/>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98" t="s">
        <v>317</v>
      </c>
      <c r="F248" s="1698"/>
      <c r="G248" s="1698"/>
      <c r="H248" s="1698"/>
      <c r="I248" s="1698"/>
      <c r="J248" s="1698"/>
      <c r="K248" s="1698"/>
      <c r="L248" s="1698"/>
      <c r="M248" s="1698"/>
      <c r="N248" s="1698"/>
      <c r="O248" s="1698"/>
      <c r="P248" s="1698"/>
      <c r="Q248" s="1698"/>
      <c r="R248" s="1698"/>
      <c r="S248" s="1698"/>
      <c r="T248" s="1698"/>
      <c r="U248" s="1698"/>
      <c r="V248" s="1698"/>
      <c r="W248" s="1698"/>
      <c r="X248" s="1698"/>
      <c r="Y248" s="1698"/>
      <c r="Z248" s="1698"/>
      <c r="AA248" s="1698"/>
      <c r="AB248" s="1698"/>
      <c r="AC248" s="4"/>
      <c r="AD248" s="4"/>
      <c r="AF248" s="1731" t="s">
        <v>103</v>
      </c>
      <c r="AG248" s="1731"/>
      <c r="AH248" s="1731"/>
      <c r="AI248" s="1731"/>
      <c r="AJ248" s="1731"/>
      <c r="AK248" s="1731"/>
      <c r="AL248" s="1731"/>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98"/>
      <c r="F249" s="1698"/>
      <c r="G249" s="1698"/>
      <c r="H249" s="1698"/>
      <c r="I249" s="1698"/>
      <c r="J249" s="1698"/>
      <c r="K249" s="1698"/>
      <c r="L249" s="1698"/>
      <c r="M249" s="1698"/>
      <c r="N249" s="1698"/>
      <c r="O249" s="1698"/>
      <c r="P249" s="1698"/>
      <c r="Q249" s="1698"/>
      <c r="R249" s="1698"/>
      <c r="S249" s="1698"/>
      <c r="T249" s="1698"/>
      <c r="U249" s="1698"/>
      <c r="V249" s="1698"/>
      <c r="W249" s="1698"/>
      <c r="X249" s="1698"/>
      <c r="Y249" s="1698"/>
      <c r="Z249" s="1698"/>
      <c r="AA249" s="1698"/>
      <c r="AB249" s="1698"/>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98" t="s">
        <v>1256</v>
      </c>
      <c r="F251" s="1698"/>
      <c r="G251" s="1698"/>
      <c r="H251" s="1698"/>
      <c r="I251" s="1698"/>
      <c r="J251" s="1698"/>
      <c r="K251" s="1698"/>
      <c r="L251" s="1698"/>
      <c r="M251" s="1698"/>
      <c r="N251" s="1698"/>
      <c r="O251" s="1698"/>
      <c r="P251" s="1698"/>
      <c r="Q251" s="1698"/>
      <c r="R251" s="1698"/>
      <c r="S251" s="1698"/>
      <c r="T251" s="1698"/>
      <c r="U251" s="1698"/>
      <c r="V251" s="1698"/>
      <c r="W251" s="1698"/>
      <c r="X251" s="1698"/>
      <c r="Y251" s="1698"/>
      <c r="Z251" s="1698"/>
      <c r="AA251" s="1698"/>
      <c r="AB251" s="1698"/>
      <c r="AC251" s="4"/>
      <c r="AD251" s="4"/>
      <c r="AF251" s="1731" t="s">
        <v>318</v>
      </c>
      <c r="AG251" s="1731"/>
      <c r="AH251" s="1731"/>
      <c r="AI251" s="1731"/>
      <c r="AJ251" s="1731"/>
      <c r="AK251" s="1731"/>
      <c r="AL251" s="1731"/>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98"/>
      <c r="F252" s="1698"/>
      <c r="G252" s="1698"/>
      <c r="H252" s="1698"/>
      <c r="I252" s="1698"/>
      <c r="J252" s="1698"/>
      <c r="K252" s="1698"/>
      <c r="L252" s="1698"/>
      <c r="M252" s="1698"/>
      <c r="N252" s="1698"/>
      <c r="O252" s="1698"/>
      <c r="P252" s="1698"/>
      <c r="Q252" s="1698"/>
      <c r="R252" s="1698"/>
      <c r="S252" s="1698"/>
      <c r="T252" s="1698"/>
      <c r="U252" s="1698"/>
      <c r="V252" s="1698"/>
      <c r="W252" s="1698"/>
      <c r="X252" s="1698"/>
      <c r="Y252" s="1698"/>
      <c r="Z252" s="1698"/>
      <c r="AA252" s="1698"/>
      <c r="AB252" s="1698"/>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76" t="s">
        <v>581</v>
      </c>
      <c r="I254" s="1776"/>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308">
        <f>VLOOKUP($H$254,$AO$246:$AP$248,2,FALSE)</f>
        <v>2</v>
      </c>
      <c r="AK256" s="1310"/>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98" t="s">
        <v>1938</v>
      </c>
      <c r="F260" s="1698"/>
      <c r="G260" s="1698"/>
      <c r="H260" s="1698"/>
      <c r="I260" s="1698"/>
      <c r="J260" s="1698"/>
      <c r="K260" s="1698"/>
      <c r="L260" s="1698"/>
      <c r="M260" s="1698"/>
      <c r="N260" s="1698"/>
      <c r="O260" s="1698"/>
      <c r="P260" s="1698"/>
      <c r="Q260" s="1698"/>
      <c r="R260" s="1698"/>
      <c r="S260" s="1698"/>
      <c r="T260" s="1698"/>
      <c r="U260" s="1698"/>
      <c r="V260" s="1698"/>
      <c r="W260" s="1698"/>
      <c r="X260" s="1698"/>
      <c r="Y260" s="1698"/>
      <c r="Z260" s="1698"/>
      <c r="AA260" s="1698"/>
      <c r="AB260" s="1698"/>
      <c r="AC260" s="1698"/>
      <c r="AD260" s="1698"/>
      <c r="AF260" s="1731" t="s">
        <v>103</v>
      </c>
      <c r="AG260" s="1731"/>
      <c r="AH260" s="1731"/>
      <c r="AI260" s="1731"/>
      <c r="AJ260" s="1731"/>
      <c r="AK260" s="1731"/>
      <c r="AL260" s="1731"/>
      <c r="AM260" s="102"/>
      <c r="AN260" s="202"/>
      <c r="AO260" s="4" t="s">
        <v>124</v>
      </c>
      <c r="AP260" s="469">
        <v>0</v>
      </c>
    </row>
    <row r="261" spans="1:82" customFormat="1">
      <c r="A261" s="4"/>
      <c r="B261" s="100"/>
      <c r="C261" s="135"/>
      <c r="D261" s="26"/>
      <c r="E261" s="1698"/>
      <c r="F261" s="1698"/>
      <c r="G261" s="1698"/>
      <c r="H261" s="1698"/>
      <c r="I261" s="1698"/>
      <c r="J261" s="1698"/>
      <c r="K261" s="1698"/>
      <c r="L261" s="1698"/>
      <c r="M261" s="1698"/>
      <c r="N261" s="1698"/>
      <c r="O261" s="1698"/>
      <c r="P261" s="1698"/>
      <c r="Q261" s="1698"/>
      <c r="R261" s="1698"/>
      <c r="S261" s="1698"/>
      <c r="T261" s="1698"/>
      <c r="U261" s="1698"/>
      <c r="V261" s="1698"/>
      <c r="W261" s="1698"/>
      <c r="X261" s="1698"/>
      <c r="Y261" s="1698"/>
      <c r="Z261" s="1698"/>
      <c r="AA261" s="1698"/>
      <c r="AB261" s="1698"/>
      <c r="AC261" s="1698"/>
      <c r="AD261" s="1698"/>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98"/>
      <c r="F262" s="1698"/>
      <c r="G262" s="1698"/>
      <c r="H262" s="1698"/>
      <c r="I262" s="1698"/>
      <c r="J262" s="1698"/>
      <c r="K262" s="1698"/>
      <c r="L262" s="1698"/>
      <c r="M262" s="1698"/>
      <c r="N262" s="1698"/>
      <c r="O262" s="1698"/>
      <c r="P262" s="1698"/>
      <c r="Q262" s="1698"/>
      <c r="R262" s="1698"/>
      <c r="S262" s="1698"/>
      <c r="T262" s="1698"/>
      <c r="U262" s="1698"/>
      <c r="V262" s="1698"/>
      <c r="W262" s="1698"/>
      <c r="X262" s="1698"/>
      <c r="Y262" s="1698"/>
      <c r="Z262" s="1698"/>
      <c r="AA262" s="1698"/>
      <c r="AB262" s="1698"/>
      <c r="AC262" s="1698"/>
      <c r="AD262" s="1698"/>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924" t="s">
        <v>1939</v>
      </c>
      <c r="F264" s="1924"/>
      <c r="G264" s="1924"/>
      <c r="H264" s="1924"/>
      <c r="I264" s="1924"/>
      <c r="J264" s="1924"/>
      <c r="K264" s="1924"/>
      <c r="L264" s="1924"/>
      <c r="M264" s="1924"/>
      <c r="N264" s="1924"/>
      <c r="O264" s="1924"/>
      <c r="P264" s="1924"/>
      <c r="Q264" s="1924"/>
      <c r="R264" s="1924"/>
      <c r="S264" s="1924"/>
      <c r="T264" s="1924"/>
      <c r="U264" s="1924"/>
      <c r="V264" s="1924"/>
      <c r="W264" s="1924"/>
      <c r="X264" s="1924"/>
      <c r="Y264" s="1924"/>
      <c r="Z264" s="1924"/>
      <c r="AA264" s="1924"/>
      <c r="AB264" s="1924"/>
      <c r="AC264" s="1924"/>
      <c r="AD264" s="1924"/>
      <c r="AF264" s="1731" t="s">
        <v>61</v>
      </c>
      <c r="AG264" s="1731"/>
      <c r="AH264" s="1731"/>
      <c r="AI264" s="1731"/>
      <c r="AJ264" s="1731"/>
      <c r="AK264" s="1731"/>
      <c r="AL264" s="1731"/>
      <c r="AM264" s="102"/>
      <c r="AN264" s="279"/>
    </row>
    <row r="265" spans="1:82" s="4" customFormat="1" ht="12.75" customHeight="1">
      <c r="B265" s="100"/>
      <c r="C265" s="135"/>
      <c r="D265" s="26"/>
      <c r="E265" s="1924"/>
      <c r="F265" s="1924"/>
      <c r="G265" s="1924"/>
      <c r="H265" s="1924"/>
      <c r="I265" s="1924"/>
      <c r="J265" s="1924"/>
      <c r="K265" s="1924"/>
      <c r="L265" s="1924"/>
      <c r="M265" s="1924"/>
      <c r="N265" s="1924"/>
      <c r="O265" s="1924"/>
      <c r="P265" s="1924"/>
      <c r="Q265" s="1924"/>
      <c r="R265" s="1924"/>
      <c r="S265" s="1924"/>
      <c r="T265" s="1924"/>
      <c r="U265" s="1924"/>
      <c r="V265" s="1924"/>
      <c r="W265" s="1924"/>
      <c r="X265" s="1924"/>
      <c r="Y265" s="1924"/>
      <c r="Z265" s="1924"/>
      <c r="AA265" s="1924"/>
      <c r="AB265" s="1924"/>
      <c r="AC265" s="1924"/>
      <c r="AD265" s="1924"/>
      <c r="AE265" s="106"/>
      <c r="AF265" s="106"/>
      <c r="AG265" s="106"/>
      <c r="AH265" s="106"/>
      <c r="AI265" s="106"/>
      <c r="AJ265" s="106"/>
      <c r="AK265" s="106"/>
      <c r="AL265" s="106"/>
      <c r="AM265" s="102"/>
      <c r="AN265" s="279"/>
    </row>
    <row r="266" spans="1:82" s="4" customFormat="1" ht="12.75" customHeight="1">
      <c r="B266" s="100"/>
      <c r="C266" s="135"/>
      <c r="D266" s="26"/>
      <c r="E266" s="1924"/>
      <c r="F266" s="1924"/>
      <c r="G266" s="1924"/>
      <c r="H266" s="1924"/>
      <c r="I266" s="1924"/>
      <c r="J266" s="1924"/>
      <c r="K266" s="1924"/>
      <c r="L266" s="1924"/>
      <c r="M266" s="1924"/>
      <c r="N266" s="1924"/>
      <c r="O266" s="1924"/>
      <c r="P266" s="1924"/>
      <c r="Q266" s="1924"/>
      <c r="R266" s="1924"/>
      <c r="S266" s="1924"/>
      <c r="T266" s="1924"/>
      <c r="U266" s="1924"/>
      <c r="V266" s="1924"/>
      <c r="W266" s="1924"/>
      <c r="X266" s="1924"/>
      <c r="Y266" s="1924"/>
      <c r="Z266" s="1924"/>
      <c r="AA266" s="1924"/>
      <c r="AB266" s="1924"/>
      <c r="AC266" s="1924"/>
      <c r="AD266" s="1924"/>
      <c r="AE266" s="106"/>
      <c r="AF266" s="106"/>
      <c r="AG266" s="106"/>
      <c r="AH266" s="106"/>
      <c r="AI266" s="106"/>
      <c r="AJ266" s="106"/>
      <c r="AK266" s="106"/>
      <c r="AL266" s="106"/>
      <c r="AM266" s="102"/>
      <c r="AN266" s="279"/>
    </row>
    <row r="267" spans="1:82" s="4" customFormat="1" ht="12.75" customHeight="1">
      <c r="B267" s="100"/>
      <c r="C267" s="135"/>
      <c r="D267" s="26"/>
      <c r="E267" s="1924"/>
      <c r="F267" s="1924"/>
      <c r="G267" s="1924"/>
      <c r="H267" s="1924"/>
      <c r="I267" s="1924"/>
      <c r="J267" s="1924"/>
      <c r="K267" s="1924"/>
      <c r="L267" s="1924"/>
      <c r="M267" s="1924"/>
      <c r="N267" s="1924"/>
      <c r="O267" s="1924"/>
      <c r="P267" s="1924"/>
      <c r="Q267" s="1924"/>
      <c r="R267" s="1924"/>
      <c r="S267" s="1924"/>
      <c r="T267" s="1924"/>
      <c r="U267" s="1924"/>
      <c r="V267" s="1924"/>
      <c r="W267" s="1924"/>
      <c r="X267" s="1924"/>
      <c r="Y267" s="1924"/>
      <c r="Z267" s="1924"/>
      <c r="AA267" s="1924"/>
      <c r="AB267" s="1924"/>
      <c r="AC267" s="1924"/>
      <c r="AD267" s="1924"/>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76" t="s">
        <v>124</v>
      </c>
      <c r="I269" s="1776"/>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308">
        <f>VLOOKUP($H$269,$AO$260:$AP$262,2,FALSE)</f>
        <v>0</v>
      </c>
      <c r="AK271" s="1310"/>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98" t="s">
        <v>2194</v>
      </c>
      <c r="F275" s="1698"/>
      <c r="G275" s="1698"/>
      <c r="H275" s="1698"/>
      <c r="I275" s="1698"/>
      <c r="J275" s="1698"/>
      <c r="K275" s="1698"/>
      <c r="L275" s="1698"/>
      <c r="M275" s="1698"/>
      <c r="N275" s="1698"/>
      <c r="O275" s="1698"/>
      <c r="P275" s="1698"/>
      <c r="Q275" s="1698"/>
      <c r="R275" s="1698"/>
      <c r="S275" s="1698"/>
      <c r="T275" s="1698"/>
      <c r="U275" s="1698"/>
      <c r="V275" s="1698"/>
      <c r="W275" s="1698"/>
      <c r="X275" s="1698"/>
      <c r="Y275" s="1698"/>
      <c r="Z275" s="1698"/>
      <c r="AA275" s="1698"/>
      <c r="AB275" s="1698"/>
      <c r="AC275" s="1698"/>
      <c r="AD275" s="1698"/>
      <c r="AF275" s="1731" t="s">
        <v>1628</v>
      </c>
      <c r="AG275" s="1731"/>
      <c r="AH275" s="1731"/>
      <c r="AI275" s="1731"/>
      <c r="AJ275" s="1731"/>
      <c r="AK275" s="1731"/>
      <c r="AL275" s="1731"/>
      <c r="AM275" s="102"/>
      <c r="AN275" s="202"/>
      <c r="AO275" s="26" t="s">
        <v>108</v>
      </c>
      <c r="AP275" s="4">
        <v>8</v>
      </c>
      <c r="AT275" s="425"/>
      <c r="AU275" s="425"/>
      <c r="AV275" s="425"/>
      <c r="AW275" s="425"/>
      <c r="AX275" s="425"/>
      <c r="AY275" s="425"/>
      <c r="AZ275" s="425"/>
    </row>
    <row r="276" spans="1:82" customFormat="1">
      <c r="A276" s="4"/>
      <c r="B276" s="100"/>
      <c r="C276" s="135"/>
      <c r="D276" s="26"/>
      <c r="E276" s="1698"/>
      <c r="F276" s="1698"/>
      <c r="G276" s="1698"/>
      <c r="H276" s="1698"/>
      <c r="I276" s="1698"/>
      <c r="J276" s="1698"/>
      <c r="K276" s="1698"/>
      <c r="L276" s="1698"/>
      <c r="M276" s="1698"/>
      <c r="N276" s="1698"/>
      <c r="O276" s="1698"/>
      <c r="P276" s="1698"/>
      <c r="Q276" s="1698"/>
      <c r="R276" s="1698"/>
      <c r="S276" s="1698"/>
      <c r="T276" s="1698"/>
      <c r="U276" s="1698"/>
      <c r="V276" s="1698"/>
      <c r="W276" s="1698"/>
      <c r="X276" s="1698"/>
      <c r="Y276" s="1698"/>
      <c r="Z276" s="1698"/>
      <c r="AA276" s="1698"/>
      <c r="AB276" s="1698"/>
      <c r="AC276" s="1698"/>
      <c r="AD276" s="1698"/>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98"/>
      <c r="F277" s="1698"/>
      <c r="G277" s="1698"/>
      <c r="H277" s="1698"/>
      <c r="I277" s="1698"/>
      <c r="J277" s="1698"/>
      <c r="K277" s="1698"/>
      <c r="L277" s="1698"/>
      <c r="M277" s="1698"/>
      <c r="N277" s="1698"/>
      <c r="O277" s="1698"/>
      <c r="P277" s="1698"/>
      <c r="Q277" s="1698"/>
      <c r="R277" s="1698"/>
      <c r="S277" s="1698"/>
      <c r="T277" s="1698"/>
      <c r="U277" s="1698"/>
      <c r="V277" s="1698"/>
      <c r="W277" s="1698"/>
      <c r="X277" s="1698"/>
      <c r="Y277" s="1698"/>
      <c r="Z277" s="1698"/>
      <c r="AA277" s="1698"/>
      <c r="AB277" s="1698"/>
      <c r="AC277" s="1698"/>
      <c r="AD277" s="1698"/>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76" t="s">
        <v>124</v>
      </c>
      <c r="I279" s="1776"/>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308">
        <f>VLOOKUP($H$279,$AO$274:$AP$275,2,FALSE)</f>
        <v>0</v>
      </c>
      <c r="AK281" s="1310"/>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308">
        <f>$AJ$124+$AJ$139+$AJ$151+$AJ$184+$AJ$206+$AJ$218+$AJ$230+$AJ$244+$AJ$256+$AJ$271+AJ281</f>
        <v>25</v>
      </c>
      <c r="AL283" s="1309"/>
      <c r="AM283" s="1310"/>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58" t="s">
        <v>2415</v>
      </c>
      <c r="I287" s="1158"/>
      <c r="J287" s="1158"/>
      <c r="K287" s="1158"/>
      <c r="L287" s="1158"/>
      <c r="M287" s="1158"/>
      <c r="N287" s="1158"/>
      <c r="O287" s="1158"/>
      <c r="P287" s="1158"/>
      <c r="Q287" s="1158"/>
      <c r="R287" s="1158"/>
      <c r="S287"/>
      <c r="T287" s="41" t="s">
        <v>89</v>
      </c>
      <c r="U287"/>
      <c r="V287" s="41"/>
      <c r="W287" s="41"/>
      <c r="X287" s="41"/>
      <c r="Y287" s="41"/>
      <c r="Z287"/>
      <c r="AA287" s="1158" t="s">
        <v>2421</v>
      </c>
      <c r="AB287" s="1158"/>
      <c r="AC287" s="1158"/>
      <c r="AD287" s="1158"/>
      <c r="AE287" s="1158"/>
      <c r="AF287" s="1158"/>
      <c r="AG287" s="1158"/>
      <c r="AH287" s="1158"/>
      <c r="AI287" s="1158"/>
      <c r="AJ287" s="1158"/>
      <c r="AK287" s="1158"/>
      <c r="AL287" s="10"/>
      <c r="AN287" s="279"/>
      <c r="AP287" t="s">
        <v>91</v>
      </c>
    </row>
    <row r="288" spans="1:82" s="4" customFormat="1" ht="12.75" customHeight="1">
      <c r="B288" s="41" t="s">
        <v>699</v>
      </c>
      <c r="C288" s="41"/>
      <c r="D288" s="41"/>
      <c r="E288" s="41"/>
      <c r="F288" s="41"/>
      <c r="G288"/>
      <c r="H288" s="1065" t="s">
        <v>2416</v>
      </c>
      <c r="I288" s="1065"/>
      <c r="J288" s="1065"/>
      <c r="K288" s="1065"/>
      <c r="L288" s="1065"/>
      <c r="M288" s="1065"/>
      <c r="N288" s="1065"/>
      <c r="O288" s="1065"/>
      <c r="P288" s="1065"/>
      <c r="Q288" s="1065"/>
      <c r="R288" s="1065"/>
      <c r="S288"/>
      <c r="T288" s="41" t="s">
        <v>699</v>
      </c>
      <c r="U288"/>
      <c r="V288" s="41"/>
      <c r="W288" s="41"/>
      <c r="X288" s="41"/>
      <c r="Y288" s="41"/>
      <c r="Z288"/>
      <c r="AA288" s="1065" t="s">
        <v>2422</v>
      </c>
      <c r="AB288" s="1065"/>
      <c r="AC288" s="1065"/>
      <c r="AD288" s="1065"/>
      <c r="AE288" s="1065"/>
      <c r="AF288" s="1065"/>
      <c r="AG288" s="1065"/>
      <c r="AH288" s="1065"/>
      <c r="AI288" s="1065"/>
      <c r="AJ288" s="1065"/>
      <c r="AK288" s="1065"/>
      <c r="AL288" s="10"/>
      <c r="AN288" s="279"/>
      <c r="AP288" t="s">
        <v>92</v>
      </c>
    </row>
    <row r="289" spans="1:42" s="4" customFormat="1" ht="12.75" customHeight="1">
      <c r="B289" s="41" t="s">
        <v>99</v>
      </c>
      <c r="C289" s="41"/>
      <c r="D289" s="41"/>
      <c r="E289" s="41"/>
      <c r="F289" s="41"/>
      <c r="G289"/>
      <c r="H289" s="1065" t="s">
        <v>2417</v>
      </c>
      <c r="I289" s="1065"/>
      <c r="J289" s="1065"/>
      <c r="K289" s="1065"/>
      <c r="L289" s="1065"/>
      <c r="M289" s="1065"/>
      <c r="N289" s="1065"/>
      <c r="O289" s="1065"/>
      <c r="P289" s="1065"/>
      <c r="Q289" s="1065"/>
      <c r="R289" s="1065"/>
      <c r="S289"/>
      <c r="T289" s="41" t="s">
        <v>99</v>
      </c>
      <c r="U289"/>
      <c r="V289" s="41"/>
      <c r="W289" s="41"/>
      <c r="X289" s="41"/>
      <c r="Y289" s="41"/>
      <c r="Z289"/>
      <c r="AA289" s="1065" t="s">
        <v>2423</v>
      </c>
      <c r="AB289" s="1065"/>
      <c r="AC289" s="1065"/>
      <c r="AD289" s="1065"/>
      <c r="AE289" s="1065"/>
      <c r="AF289" s="1065"/>
      <c r="AG289" s="1065"/>
      <c r="AH289" s="1065"/>
      <c r="AI289" s="1065"/>
      <c r="AJ289" s="1065"/>
      <c r="AK289" s="1065"/>
      <c r="AL289" s="10"/>
      <c r="AN289" s="279"/>
      <c r="AO289" s="209"/>
      <c r="AP289" t="s">
        <v>93</v>
      </c>
    </row>
    <row r="290" spans="1:42" s="4" customFormat="1" ht="12.75" customHeight="1">
      <c r="B290" s="41" t="s">
        <v>374</v>
      </c>
      <c r="C290" s="41"/>
      <c r="D290" s="41"/>
      <c r="E290" s="41"/>
      <c r="F290" s="41"/>
      <c r="G290"/>
      <c r="H290" s="1065" t="s">
        <v>2418</v>
      </c>
      <c r="I290" s="1065"/>
      <c r="J290" s="1065"/>
      <c r="K290" s="1065"/>
      <c r="L290" s="1065"/>
      <c r="M290" s="1065"/>
      <c r="N290" s="1065"/>
      <c r="O290" s="1065"/>
      <c r="P290" s="1065"/>
      <c r="Q290" s="1065"/>
      <c r="R290" s="1065"/>
      <c r="S290"/>
      <c r="T290" s="41" t="s">
        <v>374</v>
      </c>
      <c r="U290"/>
      <c r="V290" s="41"/>
      <c r="W290" s="41"/>
      <c r="X290" s="41"/>
      <c r="Y290" s="41"/>
      <c r="Z290"/>
      <c r="AA290" s="1065"/>
      <c r="AB290" s="1065"/>
      <c r="AC290" s="1065"/>
      <c r="AD290" s="1065"/>
      <c r="AE290" s="1065"/>
      <c r="AF290" s="1065"/>
      <c r="AG290" s="1065"/>
      <c r="AH290" s="1065"/>
      <c r="AI290" s="1065"/>
      <c r="AJ290" s="1065"/>
      <c r="AK290" s="1065"/>
      <c r="AL290" s="10"/>
      <c r="AN290" s="279"/>
      <c r="AO290" s="209"/>
      <c r="AP290" t="s">
        <v>347</v>
      </c>
    </row>
    <row r="291" spans="1:42" s="4" customFormat="1" ht="12.75" customHeight="1">
      <c r="B291" s="41" t="s">
        <v>375</v>
      </c>
      <c r="C291" s="41"/>
      <c r="D291" s="41"/>
      <c r="E291" s="41"/>
      <c r="F291" s="41"/>
      <c r="G291" s="41"/>
      <c r="H291" s="1451">
        <v>7077552029</v>
      </c>
      <c r="I291" s="1451"/>
      <c r="J291" s="1451"/>
      <c r="K291" s="1451"/>
      <c r="L291" s="1451"/>
      <c r="M291" s="1451"/>
      <c r="N291" s="5" t="s">
        <v>818</v>
      </c>
      <c r="O291" s="5"/>
      <c r="P291" s="1454"/>
      <c r="Q291" s="1454"/>
      <c r="R291" s="1454"/>
      <c r="S291" s="41"/>
      <c r="T291" s="41" t="s">
        <v>375</v>
      </c>
      <c r="U291"/>
      <c r="V291" s="41"/>
      <c r="W291" s="41"/>
      <c r="X291" s="41"/>
      <c r="Y291" s="41"/>
      <c r="Z291"/>
      <c r="AA291" s="1451">
        <v>7075287810</v>
      </c>
      <c r="AB291" s="1451"/>
      <c r="AC291" s="1451"/>
      <c r="AD291" s="1451"/>
      <c r="AE291" s="1451"/>
      <c r="AF291" s="1451"/>
      <c r="AG291" s="5" t="s">
        <v>818</v>
      </c>
      <c r="AH291" s="5"/>
      <c r="AI291" s="1454"/>
      <c r="AJ291" s="1454"/>
      <c r="AK291" s="1454"/>
      <c r="AL291" s="10"/>
      <c r="AN291" s="279"/>
      <c r="AO291" s="209"/>
      <c r="AP291" t="s">
        <v>2290</v>
      </c>
    </row>
    <row r="292" spans="1:42" s="4" customFormat="1" ht="12.75" customHeight="1">
      <c r="B292" s="41" t="s">
        <v>88</v>
      </c>
      <c r="C292" s="41"/>
      <c r="D292" s="41"/>
      <c r="E292" s="41"/>
      <c r="F292" s="41"/>
      <c r="G292" s="41"/>
      <c r="H292" s="1065" t="s">
        <v>93</v>
      </c>
      <c r="I292" s="1065"/>
      <c r="J292" s="1065"/>
      <c r="K292" s="1065"/>
      <c r="L292" s="1065"/>
      <c r="M292" s="1065"/>
      <c r="N292" s="1065"/>
      <c r="O292" s="1065"/>
      <c r="P292" s="1065"/>
      <c r="Q292" s="1065"/>
      <c r="R292" s="1065"/>
      <c r="S292" s="41"/>
      <c r="T292" s="41" t="s">
        <v>88</v>
      </c>
      <c r="U292"/>
      <c r="V292" s="41"/>
      <c r="W292" s="41"/>
      <c r="X292" s="41"/>
      <c r="Y292" s="41"/>
      <c r="Z292"/>
      <c r="AA292" s="1065" t="s">
        <v>96</v>
      </c>
      <c r="AB292" s="1065"/>
      <c r="AC292" s="1065"/>
      <c r="AD292" s="1065"/>
      <c r="AE292" s="1065"/>
      <c r="AF292" s="1065"/>
      <c r="AG292" s="1065"/>
      <c r="AH292" s="1065"/>
      <c r="AI292" s="1065"/>
      <c r="AJ292" s="1065"/>
      <c r="AK292" s="1065"/>
      <c r="AL292" s="10"/>
      <c r="AN292" s="279"/>
      <c r="AO292" s="209"/>
      <c r="AP292" t="s">
        <v>100</v>
      </c>
    </row>
    <row r="293" spans="1:42" s="4" customFormat="1" ht="12.75" customHeight="1">
      <c r="B293" s="41" t="s">
        <v>90</v>
      </c>
      <c r="C293" s="41"/>
      <c r="D293" s="41"/>
      <c r="E293" s="41"/>
      <c r="F293" s="41"/>
      <c r="G293" s="41"/>
      <c r="H293" s="1065" t="s">
        <v>2419</v>
      </c>
      <c r="I293" s="1065"/>
      <c r="J293" s="1065"/>
      <c r="K293" s="1065"/>
      <c r="L293" s="1065"/>
      <c r="M293" s="1065"/>
      <c r="N293" s="1065"/>
      <c r="O293" s="1065"/>
      <c r="P293" s="1065"/>
      <c r="Q293" s="1065"/>
      <c r="R293" s="1065"/>
      <c r="S293" s="41"/>
      <c r="T293" s="41" t="s">
        <v>90</v>
      </c>
      <c r="U293"/>
      <c r="V293" s="41"/>
      <c r="W293" s="41"/>
      <c r="X293" s="41"/>
      <c r="Y293" s="41"/>
      <c r="Z293"/>
      <c r="AA293" s="1065" t="s">
        <v>2424</v>
      </c>
      <c r="AB293" s="1065"/>
      <c r="AC293" s="1065"/>
      <c r="AD293" s="1065"/>
      <c r="AE293" s="1065"/>
      <c r="AF293" s="1065"/>
      <c r="AG293" s="1065"/>
      <c r="AH293" s="1065"/>
      <c r="AI293" s="1065"/>
      <c r="AJ293" s="1065"/>
      <c r="AK293" s="1065"/>
      <c r="AL293" s="10"/>
      <c r="AN293" s="279"/>
      <c r="AP293" t="s">
        <v>97</v>
      </c>
    </row>
    <row r="294" spans="1:42" s="4" customFormat="1" ht="12.75" customHeight="1">
      <c r="B294" s="41" t="s">
        <v>101</v>
      </c>
      <c r="C294" s="41"/>
      <c r="D294" s="41"/>
      <c r="E294" s="41"/>
      <c r="F294" s="41"/>
      <c r="G294" s="41"/>
      <c r="H294" s="1702" t="s">
        <v>2420</v>
      </c>
      <c r="I294" s="1702"/>
      <c r="J294" s="1702"/>
      <c r="K294" s="1702"/>
      <c r="L294" s="1702"/>
      <c r="M294" s="1702"/>
      <c r="N294" s="1702"/>
      <c r="O294" s="1702"/>
      <c r="P294" s="1702"/>
      <c r="Q294" s="1702"/>
      <c r="R294" s="1702"/>
      <c r="S294" s="41"/>
      <c r="T294" s="41" t="s">
        <v>101</v>
      </c>
      <c r="U294" s="41"/>
      <c r="V294" s="41"/>
      <c r="W294" s="41"/>
      <c r="X294" s="41"/>
      <c r="Y294" s="41"/>
      <c r="Z294" s="12"/>
      <c r="AA294" s="1702" t="s">
        <v>2425</v>
      </c>
      <c r="AB294" s="1702"/>
      <c r="AC294" s="1702"/>
      <c r="AD294" s="1702"/>
      <c r="AE294" s="1702"/>
      <c r="AF294" s="1702"/>
      <c r="AG294" s="1702"/>
      <c r="AH294" s="1702"/>
      <c r="AI294" s="1702"/>
      <c r="AJ294" s="1702"/>
      <c r="AK294" s="1702"/>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58" t="s">
        <v>2426</v>
      </c>
      <c r="I296" s="1158"/>
      <c r="J296" s="1158"/>
      <c r="K296" s="1158"/>
      <c r="L296" s="1158"/>
      <c r="M296" s="1158"/>
      <c r="N296" s="1158"/>
      <c r="O296" s="1158"/>
      <c r="P296" s="1158"/>
      <c r="Q296" s="1158"/>
      <c r="R296" s="1158"/>
      <c r="S296"/>
      <c r="T296" s="41" t="s">
        <v>89</v>
      </c>
      <c r="U296"/>
      <c r="V296" s="41"/>
      <c r="W296" s="41"/>
      <c r="X296" s="41"/>
      <c r="Y296" s="41"/>
      <c r="Z296"/>
      <c r="AA296" s="1158" t="s">
        <v>2429</v>
      </c>
      <c r="AB296" s="1158"/>
      <c r="AC296" s="1158"/>
      <c r="AD296" s="1158"/>
      <c r="AE296" s="1158"/>
      <c r="AF296" s="1158"/>
      <c r="AG296" s="1158"/>
      <c r="AH296" s="1158"/>
      <c r="AI296" s="1158"/>
      <c r="AJ296" s="1158"/>
      <c r="AK296" s="1158"/>
      <c r="AL296" s="10"/>
      <c r="AN296" s="279"/>
      <c r="AP296" t="s">
        <v>96</v>
      </c>
    </row>
    <row r="297" spans="1:42" s="20" customFormat="1" ht="12.75" customHeight="1">
      <c r="A297" s="4"/>
      <c r="B297" s="41" t="s">
        <v>699</v>
      </c>
      <c r="C297" s="41"/>
      <c r="D297" s="41"/>
      <c r="E297" s="41"/>
      <c r="F297" s="41"/>
      <c r="G297"/>
      <c r="H297" s="1065" t="s">
        <v>2427</v>
      </c>
      <c r="I297" s="1065"/>
      <c r="J297" s="1065"/>
      <c r="K297" s="1065"/>
      <c r="L297" s="1065"/>
      <c r="M297" s="1065"/>
      <c r="N297" s="1065"/>
      <c r="O297" s="1065"/>
      <c r="P297" s="1065"/>
      <c r="Q297" s="1065"/>
      <c r="R297" s="1065"/>
      <c r="S297"/>
      <c r="T297" s="41" t="s">
        <v>699</v>
      </c>
      <c r="U297"/>
      <c r="V297" s="41"/>
      <c r="W297" s="41"/>
      <c r="X297" s="41"/>
      <c r="Y297" s="41"/>
      <c r="Z297"/>
      <c r="AA297" s="1065" t="s">
        <v>2430</v>
      </c>
      <c r="AB297" s="1065"/>
      <c r="AC297" s="1065"/>
      <c r="AD297" s="1065"/>
      <c r="AE297" s="1065"/>
      <c r="AF297" s="1065"/>
      <c r="AG297" s="1065"/>
      <c r="AH297" s="1065"/>
      <c r="AI297" s="1065"/>
      <c r="AJ297" s="1065"/>
      <c r="AK297" s="1065"/>
      <c r="AL297" s="10"/>
      <c r="AM297" s="4"/>
      <c r="AN297" s="279"/>
      <c r="AO297" s="4"/>
      <c r="AP297" s="48" t="s">
        <v>348</v>
      </c>
    </row>
    <row r="298" spans="1:42" s="20" customFormat="1" ht="12.75" customHeight="1">
      <c r="A298" s="4"/>
      <c r="B298" s="41" t="s">
        <v>99</v>
      </c>
      <c r="C298" s="41"/>
      <c r="D298" s="41"/>
      <c r="E298" s="41"/>
      <c r="F298" s="41"/>
      <c r="G298"/>
      <c r="H298" s="1065" t="s">
        <v>2423</v>
      </c>
      <c r="I298" s="1065"/>
      <c r="J298" s="1065"/>
      <c r="K298" s="1065"/>
      <c r="L298" s="1065"/>
      <c r="M298" s="1065"/>
      <c r="N298" s="1065"/>
      <c r="O298" s="1065"/>
      <c r="P298" s="1065"/>
      <c r="Q298" s="1065"/>
      <c r="R298" s="1065"/>
      <c r="S298"/>
      <c r="T298" s="41" t="s">
        <v>99</v>
      </c>
      <c r="U298"/>
      <c r="V298" s="41"/>
      <c r="W298" s="41"/>
      <c r="X298" s="41"/>
      <c r="Y298" s="41"/>
      <c r="Z298"/>
      <c r="AA298" s="1065" t="s">
        <v>2431</v>
      </c>
      <c r="AB298" s="1065"/>
      <c r="AC298" s="1065"/>
      <c r="AD298" s="1065"/>
      <c r="AE298" s="1065"/>
      <c r="AF298" s="1065"/>
      <c r="AG298" s="1065"/>
      <c r="AH298" s="1065"/>
      <c r="AI298" s="1065"/>
      <c r="AJ298" s="1065"/>
      <c r="AK298" s="1065"/>
      <c r="AL298" s="10"/>
      <c r="AM298" s="4"/>
      <c r="AN298" s="279"/>
      <c r="AO298" s="4"/>
    </row>
    <row r="299" spans="1:42" s="4" customFormat="1" ht="12.75" customHeight="1">
      <c r="B299" s="41" t="s">
        <v>374</v>
      </c>
      <c r="C299" s="41"/>
      <c r="D299" s="41"/>
      <c r="E299" s="41"/>
      <c r="F299" s="41"/>
      <c r="G299"/>
      <c r="H299" s="1065"/>
      <c r="I299" s="1065"/>
      <c r="J299" s="1065"/>
      <c r="K299" s="1065"/>
      <c r="L299" s="1065"/>
      <c r="M299" s="1065"/>
      <c r="N299" s="1065"/>
      <c r="O299" s="1065"/>
      <c r="P299" s="1065"/>
      <c r="Q299" s="1065"/>
      <c r="R299" s="1065"/>
      <c r="S299"/>
      <c r="T299" s="41" t="s">
        <v>374</v>
      </c>
      <c r="U299"/>
      <c r="V299" s="41"/>
      <c r="W299" s="41"/>
      <c r="X299" s="41"/>
      <c r="Y299" s="41"/>
      <c r="Z299"/>
      <c r="AA299" s="1065"/>
      <c r="AB299" s="1065"/>
      <c r="AC299" s="1065"/>
      <c r="AD299" s="1065"/>
      <c r="AE299" s="1065"/>
      <c r="AF299" s="1065"/>
      <c r="AG299" s="1065"/>
      <c r="AH299" s="1065"/>
      <c r="AI299" s="1065"/>
      <c r="AJ299" s="1065"/>
      <c r="AK299" s="1065"/>
      <c r="AL299" s="10"/>
      <c r="AN299" s="279"/>
    </row>
    <row r="300" spans="1:42" s="4" customFormat="1" ht="12.75" customHeight="1">
      <c r="B300" s="41" t="s">
        <v>375</v>
      </c>
      <c r="C300" s="41"/>
      <c r="D300" s="41"/>
      <c r="E300" s="41"/>
      <c r="F300" s="41"/>
      <c r="G300" s="41"/>
      <c r="H300" s="1451">
        <v>7075417700</v>
      </c>
      <c r="I300" s="1451"/>
      <c r="J300" s="1451"/>
      <c r="K300" s="1451"/>
      <c r="L300" s="1451"/>
      <c r="M300" s="1451"/>
      <c r="N300" s="5" t="s">
        <v>818</v>
      </c>
      <c r="O300" s="5"/>
      <c r="P300" s="1454"/>
      <c r="Q300" s="1454"/>
      <c r="R300" s="1454"/>
      <c r="S300" s="41"/>
      <c r="T300" s="41" t="s">
        <v>375</v>
      </c>
      <c r="U300"/>
      <c r="V300" s="41"/>
      <c r="W300" s="41"/>
      <c r="X300" s="41"/>
      <c r="Y300" s="41"/>
      <c r="Z300"/>
      <c r="AA300" s="1451">
        <v>7075450100</v>
      </c>
      <c r="AB300" s="1451"/>
      <c r="AC300" s="1451"/>
      <c r="AD300" s="1451"/>
      <c r="AE300" s="1451"/>
      <c r="AF300" s="1451"/>
      <c r="AG300" s="5" t="s">
        <v>818</v>
      </c>
      <c r="AH300" s="5"/>
      <c r="AI300" s="1454"/>
      <c r="AJ300" s="1454"/>
      <c r="AK300" s="1454"/>
      <c r="AL300" s="10"/>
      <c r="AN300" s="279"/>
    </row>
    <row r="301" spans="1:42" s="4" customFormat="1" ht="12.75" customHeight="1">
      <c r="B301" s="41" t="s">
        <v>88</v>
      </c>
      <c r="C301" s="41"/>
      <c r="D301" s="41"/>
      <c r="E301" s="41"/>
      <c r="F301" s="41"/>
      <c r="G301" s="41"/>
      <c r="H301" s="1065" t="s">
        <v>95</v>
      </c>
      <c r="I301" s="1065"/>
      <c r="J301" s="1065"/>
      <c r="K301" s="1065"/>
      <c r="L301" s="1065"/>
      <c r="M301" s="1065"/>
      <c r="N301" s="1065"/>
      <c r="O301" s="1065"/>
      <c r="P301" s="1065"/>
      <c r="Q301" s="1065"/>
      <c r="R301" s="1065"/>
      <c r="S301" s="41"/>
      <c r="T301" s="41" t="s">
        <v>88</v>
      </c>
      <c r="U301"/>
      <c r="V301" s="41"/>
      <c r="W301" s="41"/>
      <c r="X301" s="41"/>
      <c r="Y301" s="41"/>
      <c r="Z301"/>
      <c r="AA301" s="1065" t="s">
        <v>100</v>
      </c>
      <c r="AB301" s="1065"/>
      <c r="AC301" s="1065"/>
      <c r="AD301" s="1065"/>
      <c r="AE301" s="1065"/>
      <c r="AF301" s="1065"/>
      <c r="AG301" s="1065"/>
      <c r="AH301" s="1065"/>
      <c r="AI301" s="1065"/>
      <c r="AJ301" s="1065"/>
      <c r="AK301" s="1065"/>
      <c r="AL301" s="10"/>
      <c r="AN301" s="279"/>
    </row>
    <row r="302" spans="1:42" s="4" customFormat="1" ht="12.75" customHeight="1">
      <c r="B302" s="41" t="s">
        <v>90</v>
      </c>
      <c r="C302" s="41"/>
      <c r="D302" s="41"/>
      <c r="E302" s="41"/>
      <c r="F302" s="41"/>
      <c r="G302" s="41"/>
      <c r="H302" s="1065" t="s">
        <v>2428</v>
      </c>
      <c r="I302" s="1065"/>
      <c r="J302" s="1065"/>
      <c r="K302" s="1065"/>
      <c r="L302" s="1065"/>
      <c r="M302" s="1065"/>
      <c r="N302" s="1065"/>
      <c r="O302" s="1065"/>
      <c r="P302" s="1065"/>
      <c r="Q302" s="1065"/>
      <c r="R302" s="1065"/>
      <c r="S302" s="41"/>
      <c r="T302" s="41" t="s">
        <v>90</v>
      </c>
      <c r="U302"/>
      <c r="V302" s="41"/>
      <c r="W302" s="41"/>
      <c r="X302" s="41"/>
      <c r="Y302" s="41"/>
      <c r="Z302"/>
      <c r="AA302" s="1065" t="s">
        <v>2432</v>
      </c>
      <c r="AB302" s="1065"/>
      <c r="AC302" s="1065"/>
      <c r="AD302" s="1065"/>
      <c r="AE302" s="1065"/>
      <c r="AF302" s="1065"/>
      <c r="AG302" s="1065"/>
      <c r="AH302" s="1065"/>
      <c r="AI302" s="1065"/>
      <c r="AJ302" s="1065"/>
      <c r="AK302" s="1065"/>
      <c r="AL302" s="10"/>
      <c r="AN302" s="279"/>
    </row>
    <row r="303" spans="1:42" s="4" customFormat="1" ht="12.75" customHeight="1">
      <c r="B303" s="41" t="s">
        <v>101</v>
      </c>
      <c r="C303" s="41"/>
      <c r="D303" s="41"/>
      <c r="E303" s="41"/>
      <c r="F303" s="41"/>
      <c r="G303" s="41"/>
      <c r="H303" s="1702">
        <v>0.89</v>
      </c>
      <c r="I303" s="1702"/>
      <c r="J303" s="1702"/>
      <c r="K303" s="1702"/>
      <c r="L303" s="1702"/>
      <c r="M303" s="1702"/>
      <c r="N303" s="1702"/>
      <c r="O303" s="1702"/>
      <c r="P303" s="1702"/>
      <c r="Q303" s="1702"/>
      <c r="R303" s="1702"/>
      <c r="S303" s="41"/>
      <c r="T303" s="41" t="s">
        <v>101</v>
      </c>
      <c r="U303" s="41"/>
      <c r="V303" s="41"/>
      <c r="W303" s="41"/>
      <c r="X303" s="41"/>
      <c r="Y303" s="41"/>
      <c r="Z303" s="12"/>
      <c r="AA303" s="1702">
        <v>0.2</v>
      </c>
      <c r="AB303" s="1702"/>
      <c r="AC303" s="1702"/>
      <c r="AD303" s="1702"/>
      <c r="AE303" s="1702"/>
      <c r="AF303" s="1702"/>
      <c r="AG303" s="1702"/>
      <c r="AH303" s="1702"/>
      <c r="AI303" s="1702"/>
      <c r="AJ303" s="1702"/>
      <c r="AK303" s="1702"/>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58" t="s">
        <v>2433</v>
      </c>
      <c r="I305" s="1158"/>
      <c r="J305" s="1158"/>
      <c r="K305" s="1158"/>
      <c r="L305" s="1158"/>
      <c r="M305" s="1158"/>
      <c r="N305" s="1158"/>
      <c r="O305" s="1158"/>
      <c r="P305" s="1158"/>
      <c r="Q305" s="1158"/>
      <c r="R305" s="1158"/>
      <c r="S305"/>
      <c r="T305" s="41" t="s">
        <v>89</v>
      </c>
      <c r="U305"/>
      <c r="V305" s="41"/>
      <c r="W305" s="41"/>
      <c r="X305" s="41"/>
      <c r="Y305" s="41"/>
      <c r="Z305"/>
      <c r="AA305" s="1158" t="s">
        <v>2440</v>
      </c>
      <c r="AB305" s="1158"/>
      <c r="AC305" s="1158"/>
      <c r="AD305" s="1158"/>
      <c r="AE305" s="1158"/>
      <c r="AF305" s="1158"/>
      <c r="AG305" s="1158"/>
      <c r="AH305" s="1158"/>
      <c r="AI305" s="1158"/>
      <c r="AJ305" s="1158"/>
      <c r="AK305" s="1158"/>
      <c r="AL305" s="10"/>
      <c r="AN305" s="279"/>
    </row>
    <row r="306" spans="2:40" s="4" customFormat="1" ht="12.75" customHeight="1">
      <c r="B306" s="41" t="s">
        <v>699</v>
      </c>
      <c r="C306" s="41"/>
      <c r="D306" s="41"/>
      <c r="E306" s="41"/>
      <c r="F306" s="41"/>
      <c r="G306"/>
      <c r="H306" s="1065" t="s">
        <v>2434</v>
      </c>
      <c r="I306" s="1065"/>
      <c r="J306" s="1065"/>
      <c r="K306" s="1065"/>
      <c r="L306" s="1065"/>
      <c r="M306" s="1065"/>
      <c r="N306" s="1065"/>
      <c r="O306" s="1065"/>
      <c r="P306" s="1065"/>
      <c r="Q306" s="1065"/>
      <c r="R306" s="1065"/>
      <c r="S306"/>
      <c r="T306" s="41" t="s">
        <v>699</v>
      </c>
      <c r="U306"/>
      <c r="V306" s="41"/>
      <c r="W306" s="41"/>
      <c r="X306" s="41"/>
      <c r="Y306" s="41"/>
      <c r="Z306"/>
      <c r="AA306" s="1065" t="s">
        <v>2441</v>
      </c>
      <c r="AB306" s="1065"/>
      <c r="AC306" s="1065"/>
      <c r="AD306" s="1065"/>
      <c r="AE306" s="1065"/>
      <c r="AF306" s="1065"/>
      <c r="AG306" s="1065"/>
      <c r="AH306" s="1065"/>
      <c r="AI306" s="1065"/>
      <c r="AJ306" s="1065"/>
      <c r="AK306" s="1065"/>
      <c r="AL306" s="10"/>
      <c r="AN306" s="279"/>
    </row>
    <row r="307" spans="2:40" s="4" customFormat="1" ht="12.75" customHeight="1">
      <c r="B307" s="41" t="s">
        <v>99</v>
      </c>
      <c r="C307" s="41"/>
      <c r="D307" s="41"/>
      <c r="E307" s="41"/>
      <c r="F307" s="41"/>
      <c r="G307"/>
      <c r="H307" s="1065" t="s">
        <v>2431</v>
      </c>
      <c r="I307" s="1065"/>
      <c r="J307" s="1065"/>
      <c r="K307" s="1065"/>
      <c r="L307" s="1065"/>
      <c r="M307" s="1065"/>
      <c r="N307" s="1065"/>
      <c r="O307" s="1065"/>
      <c r="P307" s="1065"/>
      <c r="Q307" s="1065"/>
      <c r="R307" s="1065"/>
      <c r="S307"/>
      <c r="T307" s="41" t="s">
        <v>99</v>
      </c>
      <c r="U307"/>
      <c r="V307" s="41"/>
      <c r="W307" s="41"/>
      <c r="X307" s="41"/>
      <c r="Y307" s="41"/>
      <c r="Z307"/>
      <c r="AA307" s="1065" t="s">
        <v>2431</v>
      </c>
      <c r="AB307" s="1065"/>
      <c r="AC307" s="1065"/>
      <c r="AD307" s="1065"/>
      <c r="AE307" s="1065"/>
      <c r="AF307" s="1065"/>
      <c r="AG307" s="1065"/>
      <c r="AH307" s="1065"/>
      <c r="AI307" s="1065"/>
      <c r="AJ307" s="1065"/>
      <c r="AK307" s="1065"/>
      <c r="AL307" s="10"/>
      <c r="AN307" s="279"/>
    </row>
    <row r="308" spans="2:40" s="4" customFormat="1" ht="12.75" customHeight="1">
      <c r="B308" s="41" t="s">
        <v>374</v>
      </c>
      <c r="C308" s="41"/>
      <c r="D308" s="41"/>
      <c r="E308" s="41"/>
      <c r="F308" s="41"/>
      <c r="G308"/>
      <c r="H308" s="1065" t="s">
        <v>2435</v>
      </c>
      <c r="I308" s="1065"/>
      <c r="J308" s="1065"/>
      <c r="K308" s="1065"/>
      <c r="L308" s="1065"/>
      <c r="M308" s="1065"/>
      <c r="N308" s="1065"/>
      <c r="O308" s="1065"/>
      <c r="P308" s="1065"/>
      <c r="Q308" s="1065"/>
      <c r="R308" s="1065"/>
      <c r="S308"/>
      <c r="T308" s="41" t="s">
        <v>374</v>
      </c>
      <c r="U308"/>
      <c r="V308" s="41"/>
      <c r="W308" s="41"/>
      <c r="X308" s="41"/>
      <c r="Y308" s="41"/>
      <c r="Z308"/>
      <c r="AA308" s="1065"/>
      <c r="AB308" s="1065"/>
      <c r="AC308" s="1065"/>
      <c r="AD308" s="1065"/>
      <c r="AE308" s="1065"/>
      <c r="AF308" s="1065"/>
      <c r="AG308" s="1065"/>
      <c r="AH308" s="1065"/>
      <c r="AI308" s="1065"/>
      <c r="AJ308" s="1065"/>
      <c r="AK308" s="1065"/>
      <c r="AL308" s="10"/>
      <c r="AN308" s="279"/>
    </row>
    <row r="309" spans="2:40" s="4" customFormat="1" ht="12.75" customHeight="1">
      <c r="B309" s="41" t="s">
        <v>375</v>
      </c>
      <c r="C309" s="41"/>
      <c r="D309" s="41"/>
      <c r="E309" s="41"/>
      <c r="F309" s="41"/>
      <c r="G309" s="41"/>
      <c r="H309" s="1451">
        <v>2095746254</v>
      </c>
      <c r="I309" s="1451"/>
      <c r="J309" s="1451"/>
      <c r="K309" s="1451"/>
      <c r="L309" s="1451"/>
      <c r="M309" s="1451"/>
      <c r="N309" s="5" t="s">
        <v>818</v>
      </c>
      <c r="O309" s="5"/>
      <c r="P309" s="1454"/>
      <c r="Q309" s="1454"/>
      <c r="R309" s="1454"/>
      <c r="S309" s="41"/>
      <c r="T309" s="41" t="s">
        <v>375</v>
      </c>
      <c r="U309"/>
      <c r="V309" s="41"/>
      <c r="W309" s="41"/>
      <c r="X309" s="41"/>
      <c r="Y309" s="41"/>
      <c r="Z309"/>
      <c r="AA309" s="1451"/>
      <c r="AB309" s="1451"/>
      <c r="AC309" s="1451"/>
      <c r="AD309" s="1451"/>
      <c r="AE309" s="1451"/>
      <c r="AF309" s="1451"/>
      <c r="AG309" s="5" t="s">
        <v>818</v>
      </c>
      <c r="AH309" s="5"/>
      <c r="AI309" s="1454"/>
      <c r="AJ309" s="1454"/>
      <c r="AK309" s="1454"/>
      <c r="AL309" s="10"/>
      <c r="AN309" s="279"/>
    </row>
    <row r="310" spans="2:40" s="4" customFormat="1" ht="12.75" customHeight="1">
      <c r="B310" s="41" t="s">
        <v>88</v>
      </c>
      <c r="C310" s="41"/>
      <c r="D310" s="41"/>
      <c r="E310" s="41"/>
      <c r="F310" s="41"/>
      <c r="G310" s="41"/>
      <c r="H310" s="1065" t="s">
        <v>347</v>
      </c>
      <c r="I310" s="1065"/>
      <c r="J310" s="1065"/>
      <c r="K310" s="1065"/>
      <c r="L310" s="1065"/>
      <c r="M310" s="1065"/>
      <c r="N310" s="1065"/>
      <c r="O310" s="1065"/>
      <c r="P310" s="1065"/>
      <c r="Q310" s="1065"/>
      <c r="R310" s="1065"/>
      <c r="S310" s="41"/>
      <c r="T310" s="41" t="s">
        <v>88</v>
      </c>
      <c r="U310"/>
      <c r="V310" s="41"/>
      <c r="W310" s="41"/>
      <c r="X310" s="41"/>
      <c r="Y310" s="41"/>
      <c r="Z310"/>
      <c r="AA310" s="1065" t="s">
        <v>92</v>
      </c>
      <c r="AB310" s="1065"/>
      <c r="AC310" s="1065"/>
      <c r="AD310" s="1065"/>
      <c r="AE310" s="1065"/>
      <c r="AF310" s="1065"/>
      <c r="AG310" s="1065"/>
      <c r="AH310" s="1065"/>
      <c r="AI310" s="1065"/>
      <c r="AJ310" s="1065"/>
      <c r="AK310" s="1065"/>
      <c r="AL310" s="10"/>
      <c r="AN310" s="279"/>
    </row>
    <row r="311" spans="2:40" s="4" customFormat="1" ht="12.75" customHeight="1">
      <c r="B311" s="41" t="s">
        <v>90</v>
      </c>
      <c r="C311" s="41"/>
      <c r="D311" s="41"/>
      <c r="E311" s="41"/>
      <c r="F311" s="41"/>
      <c r="G311" s="41"/>
      <c r="H311" s="1065" t="s">
        <v>2436</v>
      </c>
      <c r="I311" s="1065"/>
      <c r="J311" s="1065"/>
      <c r="K311" s="1065"/>
      <c r="L311" s="1065"/>
      <c r="M311" s="1065"/>
      <c r="N311" s="1065"/>
      <c r="O311" s="1065"/>
      <c r="P311" s="1065"/>
      <c r="Q311" s="1065"/>
      <c r="R311" s="1065"/>
      <c r="S311" s="41"/>
      <c r="T311" s="41" t="s">
        <v>90</v>
      </c>
      <c r="U311"/>
      <c r="V311" s="41"/>
      <c r="W311" s="41"/>
      <c r="X311" s="41"/>
      <c r="Y311" s="41"/>
      <c r="Z311"/>
      <c r="AA311" s="1065"/>
      <c r="AB311" s="1065"/>
      <c r="AC311" s="1065"/>
      <c r="AD311" s="1065"/>
      <c r="AE311" s="1065"/>
      <c r="AF311" s="1065"/>
      <c r="AG311" s="1065"/>
      <c r="AH311" s="1065"/>
      <c r="AI311" s="1065"/>
      <c r="AJ311" s="1065"/>
      <c r="AK311" s="1065"/>
      <c r="AL311" s="10"/>
      <c r="AN311" s="279"/>
    </row>
    <row r="312" spans="2:40" s="4" customFormat="1" ht="12.75" customHeight="1">
      <c r="B312" s="41" t="s">
        <v>101</v>
      </c>
      <c r="C312" s="41"/>
      <c r="D312" s="41"/>
      <c r="E312" s="41"/>
      <c r="F312" s="41"/>
      <c r="G312" s="41"/>
      <c r="H312" s="1702">
        <v>0.76</v>
      </c>
      <c r="I312" s="1702"/>
      <c r="J312" s="1702"/>
      <c r="K312" s="1702"/>
      <c r="L312" s="1702"/>
      <c r="M312" s="1702"/>
      <c r="N312" s="1702"/>
      <c r="O312" s="1702"/>
      <c r="P312" s="1702"/>
      <c r="Q312" s="1702"/>
      <c r="R312" s="1702"/>
      <c r="S312" s="41"/>
      <c r="T312" s="41" t="s">
        <v>101</v>
      </c>
      <c r="U312" s="41"/>
      <c r="V312" s="41"/>
      <c r="W312" s="41"/>
      <c r="X312" s="41"/>
      <c r="Y312" s="41"/>
      <c r="Z312" s="12"/>
      <c r="AA312" s="1702">
        <v>0.72</v>
      </c>
      <c r="AB312" s="1702"/>
      <c r="AC312" s="1702"/>
      <c r="AD312" s="1702"/>
      <c r="AE312" s="1702"/>
      <c r="AF312" s="1702"/>
      <c r="AG312" s="1702"/>
      <c r="AH312" s="1702"/>
      <c r="AI312" s="1702"/>
      <c r="AJ312" s="1702"/>
      <c r="AK312" s="1702"/>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58" t="s">
        <v>2437</v>
      </c>
      <c r="I314" s="1158"/>
      <c r="J314" s="1158"/>
      <c r="K314" s="1158"/>
      <c r="L314" s="1158"/>
      <c r="M314" s="1158"/>
      <c r="N314" s="1158"/>
      <c r="O314" s="1158"/>
      <c r="P314" s="1158"/>
      <c r="Q314" s="1158"/>
      <c r="R314" s="1158"/>
      <c r="S314"/>
      <c r="T314" s="41" t="s">
        <v>89</v>
      </c>
      <c r="U314"/>
      <c r="V314" s="41"/>
      <c r="W314" s="41"/>
      <c r="X314" s="41"/>
      <c r="Y314" s="41"/>
      <c r="Z314"/>
      <c r="AA314" s="1158"/>
      <c r="AB314" s="1158"/>
      <c r="AC314" s="1158"/>
      <c r="AD314" s="1158"/>
      <c r="AE314" s="1158"/>
      <c r="AF314" s="1158"/>
      <c r="AG314" s="1158"/>
      <c r="AH314" s="1158"/>
      <c r="AI314" s="1158"/>
      <c r="AJ314" s="1158"/>
      <c r="AK314" s="1158"/>
      <c r="AL314" s="10"/>
      <c r="AN314" s="279"/>
    </row>
    <row r="315" spans="2:40" s="4" customFormat="1" ht="12.75" customHeight="1">
      <c r="B315" s="41" t="s">
        <v>699</v>
      </c>
      <c r="C315" s="41"/>
      <c r="D315" s="41"/>
      <c r="E315" s="41"/>
      <c r="F315" s="41"/>
      <c r="G315"/>
      <c r="H315" s="1065"/>
      <c r="I315" s="1065"/>
      <c r="J315" s="1065"/>
      <c r="K315" s="1065"/>
      <c r="L315" s="1065"/>
      <c r="M315" s="1065"/>
      <c r="N315" s="1065"/>
      <c r="O315" s="1065"/>
      <c r="P315" s="1065"/>
      <c r="Q315" s="1065"/>
      <c r="R315" s="1065"/>
      <c r="S315"/>
      <c r="T315" s="41" t="s">
        <v>699</v>
      </c>
      <c r="U315"/>
      <c r="V315" s="41"/>
      <c r="W315" s="41"/>
      <c r="X315" s="41"/>
      <c r="Y315" s="41"/>
      <c r="Z315"/>
      <c r="AA315" s="1065"/>
      <c r="AB315" s="1065"/>
      <c r="AC315" s="1065"/>
      <c r="AD315" s="1065"/>
      <c r="AE315" s="1065"/>
      <c r="AF315" s="1065"/>
      <c r="AG315" s="1065"/>
      <c r="AH315" s="1065"/>
      <c r="AI315" s="1065"/>
      <c r="AJ315" s="1065"/>
      <c r="AK315" s="1065"/>
      <c r="AL315" s="10"/>
      <c r="AN315" s="279"/>
    </row>
    <row r="316" spans="2:40" s="4" customFormat="1" ht="12.75" customHeight="1">
      <c r="B316" s="41" t="s">
        <v>99</v>
      </c>
      <c r="C316" s="41"/>
      <c r="D316" s="41"/>
      <c r="E316" s="41"/>
      <c r="F316" s="41"/>
      <c r="G316"/>
      <c r="H316" s="1065" t="s">
        <v>2431</v>
      </c>
      <c r="I316" s="1065"/>
      <c r="J316" s="1065"/>
      <c r="K316" s="1065"/>
      <c r="L316" s="1065"/>
      <c r="M316" s="1065"/>
      <c r="N316" s="1065"/>
      <c r="O316" s="1065"/>
      <c r="P316" s="1065"/>
      <c r="Q316" s="1065"/>
      <c r="R316" s="1065"/>
      <c r="S316"/>
      <c r="T316" s="41" t="s">
        <v>99</v>
      </c>
      <c r="U316"/>
      <c r="V316" s="41"/>
      <c r="W316" s="41"/>
      <c r="X316" s="41"/>
      <c r="Y316" s="41"/>
      <c r="Z316"/>
      <c r="AA316" s="1065"/>
      <c r="AB316" s="1065"/>
      <c r="AC316" s="1065"/>
      <c r="AD316" s="1065"/>
      <c r="AE316" s="1065"/>
      <c r="AF316" s="1065"/>
      <c r="AG316" s="1065"/>
      <c r="AH316" s="1065"/>
      <c r="AI316" s="1065"/>
      <c r="AJ316" s="1065"/>
      <c r="AK316" s="1065"/>
      <c r="AL316" s="10"/>
      <c r="AN316" s="279"/>
    </row>
    <row r="317" spans="2:40" s="4" customFormat="1" ht="12.75" customHeight="1">
      <c r="B317" s="41" t="s">
        <v>374</v>
      </c>
      <c r="C317" s="41"/>
      <c r="D317" s="41"/>
      <c r="E317" s="41"/>
      <c r="F317" s="41"/>
      <c r="G317"/>
      <c r="H317" s="1065"/>
      <c r="I317" s="1065"/>
      <c r="J317" s="1065"/>
      <c r="K317" s="1065"/>
      <c r="L317" s="1065"/>
      <c r="M317" s="1065"/>
      <c r="N317" s="1065"/>
      <c r="O317" s="1065"/>
      <c r="P317" s="1065"/>
      <c r="Q317" s="1065"/>
      <c r="R317" s="1065"/>
      <c r="S317"/>
      <c r="T317" s="41" t="s">
        <v>374</v>
      </c>
      <c r="U317"/>
      <c r="V317" s="41"/>
      <c r="W317" s="41"/>
      <c r="X317" s="41"/>
      <c r="Y317" s="41"/>
      <c r="Z317"/>
      <c r="AA317" s="1065"/>
      <c r="AB317" s="1065"/>
      <c r="AC317" s="1065"/>
      <c r="AD317" s="1065"/>
      <c r="AE317" s="1065"/>
      <c r="AF317" s="1065"/>
      <c r="AG317" s="1065"/>
      <c r="AH317" s="1065"/>
      <c r="AI317" s="1065"/>
      <c r="AJ317" s="1065"/>
      <c r="AK317" s="1065"/>
      <c r="AL317" s="10"/>
      <c r="AN317" s="279"/>
    </row>
    <row r="318" spans="2:40" s="4" customFormat="1" ht="12.75" customHeight="1">
      <c r="B318" s="41" t="s">
        <v>375</v>
      </c>
      <c r="C318" s="41"/>
      <c r="D318" s="41"/>
      <c r="E318" s="41"/>
      <c r="F318" s="41"/>
      <c r="G318" s="41"/>
      <c r="H318" s="1451" t="s">
        <v>2438</v>
      </c>
      <c r="I318" s="1451"/>
      <c r="J318" s="1451"/>
      <c r="K318" s="1451"/>
      <c r="L318" s="1451"/>
      <c r="M318" s="1451"/>
      <c r="N318" s="5" t="s">
        <v>818</v>
      </c>
      <c r="O318" s="5"/>
      <c r="P318" s="1454"/>
      <c r="Q318" s="1454"/>
      <c r="R318" s="1454"/>
      <c r="S318" s="41"/>
      <c r="T318" s="41" t="s">
        <v>375</v>
      </c>
      <c r="U318"/>
      <c r="V318" s="41"/>
      <c r="W318" s="41"/>
      <c r="X318" s="41"/>
      <c r="Y318" s="41"/>
      <c r="Z318"/>
      <c r="AA318" s="1451"/>
      <c r="AB318" s="1451"/>
      <c r="AC318" s="1451"/>
      <c r="AD318" s="1451"/>
      <c r="AE318" s="1451"/>
      <c r="AF318" s="1451"/>
      <c r="AG318" s="5" t="s">
        <v>818</v>
      </c>
      <c r="AH318" s="5"/>
      <c r="AI318" s="1454"/>
      <c r="AJ318" s="1454"/>
      <c r="AK318" s="1454"/>
      <c r="AL318" s="10"/>
      <c r="AN318" s="279"/>
    </row>
    <row r="319" spans="2:40" s="4" customFormat="1" ht="12.75" customHeight="1">
      <c r="B319" s="41" t="s">
        <v>88</v>
      </c>
      <c r="C319" s="41"/>
      <c r="D319" s="41"/>
      <c r="E319" s="41"/>
      <c r="F319" s="41"/>
      <c r="G319" s="41"/>
      <c r="H319" s="1065" t="s">
        <v>91</v>
      </c>
      <c r="I319" s="1065"/>
      <c r="J319" s="1065"/>
      <c r="K319" s="1065"/>
      <c r="L319" s="1065"/>
      <c r="M319" s="1065"/>
      <c r="N319" s="1065"/>
      <c r="O319" s="1065"/>
      <c r="P319" s="1065"/>
      <c r="Q319" s="1065"/>
      <c r="R319" s="1065"/>
      <c r="S319" s="41"/>
      <c r="T319" s="41" t="s">
        <v>88</v>
      </c>
      <c r="U319"/>
      <c r="V319" s="41"/>
      <c r="W319" s="41"/>
      <c r="X319" s="41"/>
      <c r="Y319" s="41"/>
      <c r="Z319"/>
      <c r="AA319" s="1065"/>
      <c r="AB319" s="1065"/>
      <c r="AC319" s="1065"/>
      <c r="AD319" s="1065"/>
      <c r="AE319" s="1065"/>
      <c r="AF319" s="1065"/>
      <c r="AG319" s="1065"/>
      <c r="AH319" s="1065"/>
      <c r="AI319" s="1065"/>
      <c r="AJ319" s="1065"/>
      <c r="AK319" s="1065"/>
      <c r="AL319" s="10"/>
      <c r="AN319" s="279"/>
    </row>
    <row r="320" spans="2:40" s="4" customFormat="1" ht="12.75" customHeight="1">
      <c r="B320" s="41" t="s">
        <v>90</v>
      </c>
      <c r="C320" s="41"/>
      <c r="D320" s="41"/>
      <c r="E320" s="41"/>
      <c r="F320" s="41"/>
      <c r="G320" s="41"/>
      <c r="H320" s="1065" t="s">
        <v>2439</v>
      </c>
      <c r="I320" s="1065"/>
      <c r="J320" s="1065"/>
      <c r="K320" s="1065"/>
      <c r="L320" s="1065"/>
      <c r="M320" s="1065"/>
      <c r="N320" s="1065"/>
      <c r="O320" s="1065"/>
      <c r="P320" s="1065"/>
      <c r="Q320" s="1065"/>
      <c r="R320" s="1065"/>
      <c r="S320" s="41"/>
      <c r="T320" s="41" t="s">
        <v>90</v>
      </c>
      <c r="U320"/>
      <c r="V320" s="41"/>
      <c r="W320" s="41"/>
      <c r="X320" s="41"/>
      <c r="Y320" s="41"/>
      <c r="Z320"/>
      <c r="AA320" s="1065"/>
      <c r="AB320" s="1065"/>
      <c r="AC320" s="1065"/>
      <c r="AD320" s="1065"/>
      <c r="AE320" s="1065"/>
      <c r="AF320" s="1065"/>
      <c r="AG320" s="1065"/>
      <c r="AH320" s="1065"/>
      <c r="AI320" s="1065"/>
      <c r="AJ320" s="1065"/>
      <c r="AK320" s="1065"/>
      <c r="AL320" s="10"/>
      <c r="AN320" s="279"/>
    </row>
    <row r="321" spans="1:76" s="4" customFormat="1" ht="12.75" customHeight="1">
      <c r="B321" s="41" t="s">
        <v>101</v>
      </c>
      <c r="C321" s="41"/>
      <c r="D321" s="41"/>
      <c r="E321" s="41"/>
      <c r="F321" s="41"/>
      <c r="G321" s="41"/>
      <c r="H321" s="1702">
        <v>0.15</v>
      </c>
      <c r="I321" s="1702"/>
      <c r="J321" s="1702"/>
      <c r="K321" s="1702"/>
      <c r="L321" s="1702"/>
      <c r="M321" s="1702"/>
      <c r="N321" s="1702"/>
      <c r="O321" s="1702"/>
      <c r="P321" s="1702"/>
      <c r="Q321" s="1702"/>
      <c r="R321" s="1702"/>
      <c r="S321" s="41"/>
      <c r="T321" s="41" t="s">
        <v>101</v>
      </c>
      <c r="U321" s="41"/>
      <c r="V321" s="41"/>
      <c r="W321" s="41"/>
      <c r="X321" s="41"/>
      <c r="Y321" s="41"/>
      <c r="Z321" s="12"/>
      <c r="AA321" s="1702"/>
      <c r="AB321" s="1702"/>
      <c r="AC321" s="1702"/>
      <c r="AD321" s="1702"/>
      <c r="AE321" s="1702"/>
      <c r="AF321" s="1702"/>
      <c r="AG321" s="1702"/>
      <c r="AH321" s="1702"/>
      <c r="AI321" s="1702"/>
      <c r="AJ321" s="1702"/>
      <c r="AK321" s="1702"/>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58"/>
      <c r="I323" s="1158"/>
      <c r="J323" s="1158"/>
      <c r="K323" s="1158"/>
      <c r="L323" s="1158"/>
      <c r="M323" s="1158"/>
      <c r="N323" s="1158"/>
      <c r="O323" s="1158"/>
      <c r="P323" s="1158"/>
      <c r="Q323" s="1158"/>
      <c r="R323" s="1158"/>
      <c r="S323"/>
      <c r="T323" s="41" t="s">
        <v>89</v>
      </c>
      <c r="U323"/>
      <c r="V323" s="41"/>
      <c r="W323" s="41"/>
      <c r="X323" s="41"/>
      <c r="Y323" s="41"/>
      <c r="Z323"/>
      <c r="AA323" s="1158"/>
      <c r="AB323" s="1158"/>
      <c r="AC323" s="1158"/>
      <c r="AD323" s="1158"/>
      <c r="AE323" s="1158"/>
      <c r="AF323" s="1158"/>
      <c r="AG323" s="1158"/>
      <c r="AH323" s="1158"/>
      <c r="AI323" s="1158"/>
      <c r="AJ323" s="1158"/>
      <c r="AK323" s="1158"/>
      <c r="AL323" s="41"/>
      <c r="AN323" s="279"/>
    </row>
    <row r="324" spans="1:76" s="4" customFormat="1" ht="12.75" customHeight="1">
      <c r="B324" s="41" t="s">
        <v>699</v>
      </c>
      <c r="C324" s="41"/>
      <c r="D324" s="41"/>
      <c r="E324" s="41"/>
      <c r="F324" s="41"/>
      <c r="G324"/>
      <c r="H324" s="1065"/>
      <c r="I324" s="1065"/>
      <c r="J324" s="1065"/>
      <c r="K324" s="1065"/>
      <c r="L324" s="1065"/>
      <c r="M324" s="1065"/>
      <c r="N324" s="1065"/>
      <c r="O324" s="1065"/>
      <c r="P324" s="1065"/>
      <c r="Q324" s="1065"/>
      <c r="R324" s="1065"/>
      <c r="S324"/>
      <c r="T324" s="41" t="s">
        <v>699</v>
      </c>
      <c r="U324"/>
      <c r="V324" s="41"/>
      <c r="W324" s="41"/>
      <c r="X324" s="41"/>
      <c r="Y324" s="41"/>
      <c r="Z324"/>
      <c r="AA324" s="1065"/>
      <c r="AB324" s="1065"/>
      <c r="AC324" s="1065"/>
      <c r="AD324" s="1065"/>
      <c r="AE324" s="1065"/>
      <c r="AF324" s="1065"/>
      <c r="AG324" s="1065"/>
      <c r="AH324" s="1065"/>
      <c r="AI324" s="1065"/>
      <c r="AJ324" s="1065"/>
      <c r="AK324" s="1065"/>
      <c r="AL324" s="41"/>
      <c r="AN324" s="279"/>
    </row>
    <row r="325" spans="1:76" s="4" customFormat="1" ht="18" customHeight="1">
      <c r="B325" s="41" t="s">
        <v>99</v>
      </c>
      <c r="C325" s="41"/>
      <c r="D325" s="41"/>
      <c r="E325" s="41"/>
      <c r="F325" s="41"/>
      <c r="G325"/>
      <c r="H325" s="1065"/>
      <c r="I325" s="1065"/>
      <c r="J325" s="1065"/>
      <c r="K325" s="1065"/>
      <c r="L325" s="1065"/>
      <c r="M325" s="1065"/>
      <c r="N325" s="1065"/>
      <c r="O325" s="1065"/>
      <c r="P325" s="1065"/>
      <c r="Q325" s="1065"/>
      <c r="R325" s="1065"/>
      <c r="S325"/>
      <c r="T325" s="41" t="s">
        <v>99</v>
      </c>
      <c r="U325"/>
      <c r="V325" s="41"/>
      <c r="W325" s="41"/>
      <c r="X325" s="41"/>
      <c r="Y325" s="41"/>
      <c r="Z325"/>
      <c r="AA325" s="1065"/>
      <c r="AB325" s="1065"/>
      <c r="AC325" s="1065"/>
      <c r="AD325" s="1065"/>
      <c r="AE325" s="1065"/>
      <c r="AF325" s="1065"/>
      <c r="AG325" s="1065"/>
      <c r="AH325" s="1065"/>
      <c r="AI325" s="1065"/>
      <c r="AJ325" s="1065"/>
      <c r="AK325" s="1065"/>
      <c r="AL325" s="41"/>
      <c r="AN325" s="279"/>
    </row>
    <row r="326" spans="1:76" s="4" customFormat="1" ht="12.75" customHeight="1">
      <c r="B326" s="41" t="s">
        <v>374</v>
      </c>
      <c r="C326" s="41"/>
      <c r="D326" s="41"/>
      <c r="E326" s="41"/>
      <c r="F326" s="41"/>
      <c r="G326"/>
      <c r="H326" s="1065"/>
      <c r="I326" s="1065"/>
      <c r="J326" s="1065"/>
      <c r="K326" s="1065"/>
      <c r="L326" s="1065"/>
      <c r="M326" s="1065"/>
      <c r="N326" s="1065"/>
      <c r="O326" s="1065"/>
      <c r="P326" s="1065"/>
      <c r="Q326" s="1065"/>
      <c r="R326" s="1065"/>
      <c r="S326"/>
      <c r="T326" s="41" t="s">
        <v>374</v>
      </c>
      <c r="U326"/>
      <c r="V326" s="41"/>
      <c r="W326" s="41"/>
      <c r="X326" s="41"/>
      <c r="Y326" s="41"/>
      <c r="Z326"/>
      <c r="AA326" s="1065"/>
      <c r="AB326" s="1065"/>
      <c r="AC326" s="1065"/>
      <c r="AD326" s="1065"/>
      <c r="AE326" s="1065"/>
      <c r="AF326" s="1065"/>
      <c r="AG326" s="1065"/>
      <c r="AH326" s="1065"/>
      <c r="AI326" s="1065"/>
      <c r="AJ326" s="1065"/>
      <c r="AK326" s="1065"/>
      <c r="AL326" s="41"/>
      <c r="AN326" s="279"/>
    </row>
    <row r="327" spans="1:76" s="4" customFormat="1" ht="12.75" customHeight="1">
      <c r="B327" s="41" t="s">
        <v>375</v>
      </c>
      <c r="C327" s="41"/>
      <c r="D327" s="41"/>
      <c r="E327" s="41"/>
      <c r="F327" s="41"/>
      <c r="G327" s="41"/>
      <c r="H327" s="1451"/>
      <c r="I327" s="1451"/>
      <c r="J327" s="1451"/>
      <c r="K327" s="1451"/>
      <c r="L327" s="1451"/>
      <c r="M327" s="1451"/>
      <c r="N327" s="5" t="s">
        <v>818</v>
      </c>
      <c r="O327" s="5"/>
      <c r="P327" s="1454"/>
      <c r="Q327" s="1454"/>
      <c r="R327" s="1454"/>
      <c r="S327" s="41"/>
      <c r="T327" s="41" t="s">
        <v>375</v>
      </c>
      <c r="U327"/>
      <c r="V327" s="41"/>
      <c r="W327" s="41"/>
      <c r="X327" s="41"/>
      <c r="Y327" s="41"/>
      <c r="Z327"/>
      <c r="AA327" s="1451"/>
      <c r="AB327" s="1451"/>
      <c r="AC327" s="1451"/>
      <c r="AD327" s="1451"/>
      <c r="AE327" s="1451"/>
      <c r="AF327" s="1451"/>
      <c r="AG327" s="5" t="s">
        <v>818</v>
      </c>
      <c r="AH327" s="5"/>
      <c r="AI327" s="1454"/>
      <c r="AJ327" s="1454"/>
      <c r="AK327" s="1454"/>
      <c r="AL327" s="41"/>
      <c r="AN327" s="279"/>
    </row>
    <row r="328" spans="1:76" s="4" customFormat="1" ht="12.75" customHeight="1">
      <c r="B328" s="41" t="s">
        <v>88</v>
      </c>
      <c r="C328" s="41"/>
      <c r="D328" s="41"/>
      <c r="E328" s="41"/>
      <c r="F328" s="41"/>
      <c r="G328" s="41"/>
      <c r="H328" s="1065"/>
      <c r="I328" s="1065"/>
      <c r="J328" s="1065"/>
      <c r="K328" s="1065"/>
      <c r="L328" s="1065"/>
      <c r="M328" s="1065"/>
      <c r="N328" s="1065"/>
      <c r="O328" s="1065"/>
      <c r="P328" s="1065"/>
      <c r="Q328" s="1065"/>
      <c r="R328" s="1065"/>
      <c r="S328" s="41"/>
      <c r="T328" s="41" t="s">
        <v>88</v>
      </c>
      <c r="U328"/>
      <c r="V328" s="41"/>
      <c r="W328" s="41"/>
      <c r="X328" s="41"/>
      <c r="Y328" s="41"/>
      <c r="Z328"/>
      <c r="AA328" s="1065"/>
      <c r="AB328" s="1065"/>
      <c r="AC328" s="1065"/>
      <c r="AD328" s="1065"/>
      <c r="AE328" s="1065"/>
      <c r="AF328" s="1065"/>
      <c r="AG328" s="1065"/>
      <c r="AH328" s="1065"/>
      <c r="AI328" s="1065"/>
      <c r="AJ328" s="1065"/>
      <c r="AK328" s="1065"/>
      <c r="AL328" s="41"/>
      <c r="AN328" s="279"/>
    </row>
    <row r="329" spans="1:76" s="4" customFormat="1" ht="12.75" customHeight="1">
      <c r="B329" s="41" t="s">
        <v>90</v>
      </c>
      <c r="C329" s="41"/>
      <c r="D329" s="41"/>
      <c r="E329" s="41"/>
      <c r="F329" s="41"/>
      <c r="G329" s="41"/>
      <c r="H329" s="1065"/>
      <c r="I329" s="1065"/>
      <c r="J329" s="1065"/>
      <c r="K329" s="1065"/>
      <c r="L329" s="1065"/>
      <c r="M329" s="1065"/>
      <c r="N329" s="1065"/>
      <c r="O329" s="1065"/>
      <c r="P329" s="1065"/>
      <c r="Q329" s="1065"/>
      <c r="R329" s="1065"/>
      <c r="S329" s="41"/>
      <c r="T329" s="41" t="s">
        <v>90</v>
      </c>
      <c r="U329"/>
      <c r="V329" s="41"/>
      <c r="W329" s="41"/>
      <c r="X329" s="41"/>
      <c r="Y329" s="41"/>
      <c r="Z329"/>
      <c r="AA329" s="1065"/>
      <c r="AB329" s="1065"/>
      <c r="AC329" s="1065"/>
      <c r="AD329" s="1065"/>
      <c r="AE329" s="1065"/>
      <c r="AF329" s="1065"/>
      <c r="AG329" s="1065"/>
      <c r="AH329" s="1065"/>
      <c r="AI329" s="1065"/>
      <c r="AJ329" s="1065"/>
      <c r="AK329" s="1065"/>
      <c r="AL329" s="41"/>
      <c r="AN329" s="279"/>
    </row>
    <row r="330" spans="1:76" s="4" customFormat="1" ht="12.75" customHeight="1">
      <c r="B330" s="41" t="s">
        <v>101</v>
      </c>
      <c r="C330" s="41"/>
      <c r="D330" s="41"/>
      <c r="E330" s="41"/>
      <c r="F330" s="41"/>
      <c r="G330" s="41"/>
      <c r="H330" s="1702"/>
      <c r="I330" s="1702"/>
      <c r="J330" s="1702"/>
      <c r="K330" s="1702"/>
      <c r="L330" s="1702"/>
      <c r="M330" s="1702"/>
      <c r="N330" s="1702"/>
      <c r="O330" s="1702"/>
      <c r="P330" s="1702"/>
      <c r="Q330" s="1702"/>
      <c r="R330" s="1702"/>
      <c r="S330" s="41"/>
      <c r="T330" s="41" t="s">
        <v>101</v>
      </c>
      <c r="U330" s="41"/>
      <c r="V330" s="41"/>
      <c r="W330" s="41"/>
      <c r="X330" s="41"/>
      <c r="Y330" s="41"/>
      <c r="Z330" s="12"/>
      <c r="AA330" s="1702"/>
      <c r="AB330" s="1702"/>
      <c r="AC330" s="1702"/>
      <c r="AD330" s="1702"/>
      <c r="AE330" s="1702"/>
      <c r="AF330" s="1702"/>
      <c r="AG330" s="1702"/>
      <c r="AH330" s="1702"/>
      <c r="AI330" s="1702"/>
      <c r="AJ330" s="1702"/>
      <c r="AK330" s="1702"/>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54" t="s">
        <v>364</v>
      </c>
      <c r="AF333" s="1754"/>
      <c r="AG333" s="1754"/>
      <c r="AH333" s="1754"/>
      <c r="AI333" s="1754"/>
      <c r="AJ333" s="1754"/>
      <c r="AK333" s="1754"/>
      <c r="AL333" s="3"/>
      <c r="AM333" s="824"/>
      <c r="AN333" s="3"/>
    </row>
    <row r="334" spans="1:76" s="4" customFormat="1" ht="12.75" customHeight="1">
      <c r="A334" s="3"/>
      <c r="B334" s="5"/>
      <c r="C334" s="1755" t="s">
        <v>1827</v>
      </c>
      <c r="D334" s="1755"/>
      <c r="E334" s="1755"/>
      <c r="F334" s="1755"/>
      <c r="G334" s="1755"/>
      <c r="H334" s="1755"/>
      <c r="I334" s="1755"/>
      <c r="J334" s="1755"/>
      <c r="K334" s="1755"/>
      <c r="L334" s="1755"/>
      <c r="M334" s="1755"/>
      <c r="N334" s="1755"/>
      <c r="O334" s="1755"/>
      <c r="P334" s="1755"/>
      <c r="Q334" s="1755"/>
      <c r="R334" s="1755"/>
      <c r="S334" s="1755"/>
      <c r="T334" s="1755"/>
      <c r="U334" s="1755"/>
      <c r="V334" s="1755"/>
      <c r="W334" s="1755"/>
      <c r="X334" s="1755"/>
      <c r="Y334" s="1755"/>
      <c r="Z334" s="1755"/>
      <c r="AA334" s="1755"/>
      <c r="AB334" s="1755"/>
      <c r="AC334" s="1755"/>
      <c r="AD334" s="1755"/>
      <c r="AE334" s="1755"/>
      <c r="AF334" s="1755"/>
      <c r="AG334" s="1755"/>
      <c r="AH334" s="1755"/>
      <c r="AI334" s="1755"/>
      <c r="AJ334" s="1755"/>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55"/>
      <c r="D335" s="1755"/>
      <c r="E335" s="1755"/>
      <c r="F335" s="1755"/>
      <c r="G335" s="1755"/>
      <c r="H335" s="1755"/>
      <c r="I335" s="1755"/>
      <c r="J335" s="1755"/>
      <c r="K335" s="1755"/>
      <c r="L335" s="1755"/>
      <c r="M335" s="1755"/>
      <c r="N335" s="1755"/>
      <c r="O335" s="1755"/>
      <c r="P335" s="1755"/>
      <c r="Q335" s="1755"/>
      <c r="R335" s="1755"/>
      <c r="S335" s="1755"/>
      <c r="T335" s="1755"/>
      <c r="U335" s="1755"/>
      <c r="V335" s="1755"/>
      <c r="W335" s="1755"/>
      <c r="X335" s="1755"/>
      <c r="Y335" s="1755"/>
      <c r="Z335" s="1755"/>
      <c r="AA335" s="1755"/>
      <c r="AB335" s="1755"/>
      <c r="AC335" s="1755"/>
      <c r="AD335" s="1755"/>
      <c r="AE335" s="1755"/>
      <c r="AF335" s="1755"/>
      <c r="AG335" s="1755"/>
      <c r="AH335" s="1755"/>
      <c r="AI335" s="1755"/>
      <c r="AJ335" s="1755"/>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55"/>
      <c r="D336" s="1755"/>
      <c r="E336" s="1755"/>
      <c r="F336" s="1755"/>
      <c r="G336" s="1755"/>
      <c r="H336" s="1755"/>
      <c r="I336" s="1755"/>
      <c r="J336" s="1755"/>
      <c r="K336" s="1755"/>
      <c r="L336" s="1755"/>
      <c r="M336" s="1755"/>
      <c r="N336" s="1755"/>
      <c r="O336" s="1755"/>
      <c r="P336" s="1755"/>
      <c r="Q336" s="1755"/>
      <c r="R336" s="1755"/>
      <c r="S336" s="1755"/>
      <c r="T336" s="1755"/>
      <c r="U336" s="1755"/>
      <c r="V336" s="1755"/>
      <c r="W336" s="1755"/>
      <c r="X336" s="1755"/>
      <c r="Y336" s="1755"/>
      <c r="Z336" s="1755"/>
      <c r="AA336" s="1755"/>
      <c r="AB336" s="1755"/>
      <c r="AC336" s="1755"/>
      <c r="AD336" s="1755"/>
      <c r="AE336" s="1755"/>
      <c r="AF336" s="1755"/>
      <c r="AG336" s="1755"/>
      <c r="AH336" s="1755"/>
      <c r="AI336" s="1755"/>
      <c r="AJ336" s="1755"/>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55"/>
      <c r="D337" s="1755"/>
      <c r="E337" s="1755"/>
      <c r="F337" s="1755"/>
      <c r="G337" s="1755"/>
      <c r="H337" s="1755"/>
      <c r="I337" s="1755"/>
      <c r="J337" s="1755"/>
      <c r="K337" s="1755"/>
      <c r="L337" s="1755"/>
      <c r="M337" s="1755"/>
      <c r="N337" s="1755"/>
      <c r="O337" s="1755"/>
      <c r="P337" s="1755"/>
      <c r="Q337" s="1755"/>
      <c r="R337" s="1755"/>
      <c r="S337" s="1755"/>
      <c r="T337" s="1755"/>
      <c r="U337" s="1755"/>
      <c r="V337" s="1755"/>
      <c r="W337" s="1755"/>
      <c r="X337" s="1755"/>
      <c r="Y337" s="1755"/>
      <c r="Z337" s="1755"/>
      <c r="AA337" s="1755"/>
      <c r="AB337" s="1755"/>
      <c r="AC337" s="1755"/>
      <c r="AD337" s="1755"/>
      <c r="AE337" s="1755"/>
      <c r="AF337" s="1755"/>
      <c r="AG337" s="1755"/>
      <c r="AH337" s="1755"/>
      <c r="AI337" s="1755"/>
      <c r="AJ337" s="1755"/>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55"/>
      <c r="D338" s="1755"/>
      <c r="E338" s="1755"/>
      <c r="F338" s="1755"/>
      <c r="G338" s="1755"/>
      <c r="H338" s="1755"/>
      <c r="I338" s="1755"/>
      <c r="J338" s="1755"/>
      <c r="K338" s="1755"/>
      <c r="L338" s="1755"/>
      <c r="M338" s="1755"/>
      <c r="N338" s="1755"/>
      <c r="O338" s="1755"/>
      <c r="P338" s="1755"/>
      <c r="Q338" s="1755"/>
      <c r="R338" s="1755"/>
      <c r="S338" s="1755"/>
      <c r="T338" s="1755"/>
      <c r="U338" s="1755"/>
      <c r="V338" s="1755"/>
      <c r="W338" s="1755"/>
      <c r="X338" s="1755"/>
      <c r="Y338" s="1755"/>
      <c r="Z338" s="1755"/>
      <c r="AA338" s="1755"/>
      <c r="AB338" s="1755"/>
      <c r="AC338" s="1755"/>
      <c r="AD338" s="1755"/>
      <c r="AE338" s="1755"/>
      <c r="AF338" s="1755"/>
      <c r="AG338" s="1755"/>
      <c r="AH338" s="1755"/>
      <c r="AI338" s="1755"/>
      <c r="AJ338" s="1755"/>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55"/>
      <c r="D339" s="1755"/>
      <c r="E339" s="1755"/>
      <c r="F339" s="1755"/>
      <c r="G339" s="1755"/>
      <c r="H339" s="1755"/>
      <c r="I339" s="1755"/>
      <c r="J339" s="1755"/>
      <c r="K339" s="1755"/>
      <c r="L339" s="1755"/>
      <c r="M339" s="1755"/>
      <c r="N339" s="1755"/>
      <c r="O339" s="1755"/>
      <c r="P339" s="1755"/>
      <c r="Q339" s="1755"/>
      <c r="R339" s="1755"/>
      <c r="S339" s="1755"/>
      <c r="T339" s="1755"/>
      <c r="U339" s="1755"/>
      <c r="V339" s="1755"/>
      <c r="W339" s="1755"/>
      <c r="X339" s="1755"/>
      <c r="Y339" s="1755"/>
      <c r="Z339" s="1755"/>
      <c r="AA339" s="1755"/>
      <c r="AB339" s="1755"/>
      <c r="AC339" s="1755"/>
      <c r="AD339" s="1755"/>
      <c r="AE339" s="1755"/>
      <c r="AF339" s="1755"/>
      <c r="AG339" s="1755"/>
      <c r="AH339" s="1755"/>
      <c r="AI339" s="1755"/>
      <c r="AJ339" s="1755"/>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55"/>
      <c r="D340" s="1755"/>
      <c r="E340" s="1755"/>
      <c r="F340" s="1755"/>
      <c r="G340" s="1755"/>
      <c r="H340" s="1755"/>
      <c r="I340" s="1755"/>
      <c r="J340" s="1755"/>
      <c r="K340" s="1755"/>
      <c r="L340" s="1755"/>
      <c r="M340" s="1755"/>
      <c r="N340" s="1755"/>
      <c r="O340" s="1755"/>
      <c r="P340" s="1755"/>
      <c r="Q340" s="1755"/>
      <c r="R340" s="1755"/>
      <c r="S340" s="1755"/>
      <c r="T340" s="1755"/>
      <c r="U340" s="1755"/>
      <c r="V340" s="1755"/>
      <c r="W340" s="1755"/>
      <c r="X340" s="1755"/>
      <c r="Y340" s="1755"/>
      <c r="Z340" s="1755"/>
      <c r="AA340" s="1755"/>
      <c r="AB340" s="1755"/>
      <c r="AC340" s="1755"/>
      <c r="AD340" s="1755"/>
      <c r="AE340" s="1755"/>
      <c r="AF340" s="1755"/>
      <c r="AG340" s="1755"/>
      <c r="AH340" s="1755"/>
      <c r="AI340" s="1755"/>
      <c r="AJ340" s="1755"/>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55"/>
      <c r="D341" s="1755"/>
      <c r="E341" s="1755"/>
      <c r="F341" s="1755"/>
      <c r="G341" s="1755"/>
      <c r="H341" s="1755"/>
      <c r="I341" s="1755"/>
      <c r="J341" s="1755"/>
      <c r="K341" s="1755"/>
      <c r="L341" s="1755"/>
      <c r="M341" s="1755"/>
      <c r="N341" s="1755"/>
      <c r="O341" s="1755"/>
      <c r="P341" s="1755"/>
      <c r="Q341" s="1755"/>
      <c r="R341" s="1755"/>
      <c r="S341" s="1755"/>
      <c r="T341" s="1755"/>
      <c r="U341" s="1755"/>
      <c r="V341" s="1755"/>
      <c r="W341" s="1755"/>
      <c r="X341" s="1755"/>
      <c r="Y341" s="1755"/>
      <c r="Z341" s="1755"/>
      <c r="AA341" s="1755"/>
      <c r="AB341" s="1755"/>
      <c r="AC341" s="1755"/>
      <c r="AD341" s="1755"/>
      <c r="AE341" s="1755"/>
      <c r="AF341" s="1755"/>
      <c r="AG341" s="1755"/>
      <c r="AH341" s="1755"/>
      <c r="AI341" s="1755"/>
      <c r="AJ341" s="1755"/>
      <c r="AK341" s="27"/>
      <c r="AL341" s="27"/>
      <c r="AM341" s="27"/>
      <c r="AN341" s="279"/>
      <c r="AO341" s="183"/>
    </row>
    <row r="342" spans="1:76" s="4" customFormat="1" ht="12.75" customHeight="1">
      <c r="A342" s="27"/>
      <c r="B342" s="26"/>
      <c r="C342" s="1755" t="s">
        <v>1828</v>
      </c>
      <c r="D342" s="1755"/>
      <c r="E342" s="1755"/>
      <c r="F342" s="1755"/>
      <c r="G342" s="1755"/>
      <c r="H342" s="1755"/>
      <c r="I342" s="1755"/>
      <c r="J342" s="1755"/>
      <c r="K342" s="1755"/>
      <c r="L342" s="1755"/>
      <c r="M342" s="1755"/>
      <c r="N342" s="1755"/>
      <c r="O342" s="1755"/>
      <c r="P342" s="1755"/>
      <c r="Q342" s="1755"/>
      <c r="R342" s="1755"/>
      <c r="S342" s="1755"/>
      <c r="T342" s="1755"/>
      <c r="U342" s="1755"/>
      <c r="V342" s="1755"/>
      <c r="W342" s="1755"/>
      <c r="X342" s="1755"/>
      <c r="Y342" s="1755"/>
      <c r="Z342" s="1755"/>
      <c r="AA342" s="1755"/>
      <c r="AB342" s="1755"/>
      <c r="AC342" s="1755"/>
      <c r="AD342" s="1755"/>
      <c r="AE342" s="1755"/>
      <c r="AF342" s="1755"/>
      <c r="AG342" s="1755"/>
      <c r="AH342" s="1755"/>
      <c r="AI342" s="1755"/>
      <c r="AJ342" s="1755"/>
      <c r="AK342" s="27"/>
      <c r="AL342" s="27"/>
      <c r="AM342" s="27"/>
      <c r="AN342" s="279"/>
    </row>
    <row r="343" spans="1:76" s="4" customFormat="1" ht="12.75" customHeight="1">
      <c r="A343" s="27"/>
      <c r="B343" s="26"/>
      <c r="C343" s="1755"/>
      <c r="D343" s="1755"/>
      <c r="E343" s="1755"/>
      <c r="F343" s="1755"/>
      <c r="G343" s="1755"/>
      <c r="H343" s="1755"/>
      <c r="I343" s="1755"/>
      <c r="J343" s="1755"/>
      <c r="K343" s="1755"/>
      <c r="L343" s="1755"/>
      <c r="M343" s="1755"/>
      <c r="N343" s="1755"/>
      <c r="O343" s="1755"/>
      <c r="P343" s="1755"/>
      <c r="Q343" s="1755"/>
      <c r="R343" s="1755"/>
      <c r="S343" s="1755"/>
      <c r="T343" s="1755"/>
      <c r="U343" s="1755"/>
      <c r="V343" s="1755"/>
      <c r="W343" s="1755"/>
      <c r="X343" s="1755"/>
      <c r="Y343" s="1755"/>
      <c r="Z343" s="1755"/>
      <c r="AA343" s="1755"/>
      <c r="AB343" s="1755"/>
      <c r="AC343" s="1755"/>
      <c r="AD343" s="1755"/>
      <c r="AE343" s="1755"/>
      <c r="AF343" s="1755"/>
      <c r="AG343" s="1755"/>
      <c r="AH343" s="1755"/>
      <c r="AI343" s="1755"/>
      <c r="AJ343" s="1755"/>
      <c r="AK343" s="27"/>
      <c r="AL343" s="27"/>
      <c r="AM343" s="27"/>
      <c r="AN343" s="279"/>
    </row>
    <row r="344" spans="1:76" s="4" customFormat="1" ht="12.75" customHeight="1">
      <c r="A344" s="27"/>
      <c r="B344" s="26"/>
      <c r="C344" s="1755"/>
      <c r="D344" s="1755"/>
      <c r="E344" s="1755"/>
      <c r="F344" s="1755"/>
      <c r="G344" s="1755"/>
      <c r="H344" s="1755"/>
      <c r="I344" s="1755"/>
      <c r="J344" s="1755"/>
      <c r="K344" s="1755"/>
      <c r="L344" s="1755"/>
      <c r="M344" s="1755"/>
      <c r="N344" s="1755"/>
      <c r="O344" s="1755"/>
      <c r="P344" s="1755"/>
      <c r="Q344" s="1755"/>
      <c r="R344" s="1755"/>
      <c r="S344" s="1755"/>
      <c r="T344" s="1755"/>
      <c r="U344" s="1755"/>
      <c r="V344" s="1755"/>
      <c r="W344" s="1755"/>
      <c r="X344" s="1755"/>
      <c r="Y344" s="1755"/>
      <c r="Z344" s="1755"/>
      <c r="AA344" s="1755"/>
      <c r="AB344" s="1755"/>
      <c r="AC344" s="1755"/>
      <c r="AD344" s="1755"/>
      <c r="AE344" s="1755"/>
      <c r="AF344" s="1755"/>
      <c r="AG344" s="1755"/>
      <c r="AH344" s="1755"/>
      <c r="AI344" s="1755"/>
      <c r="AJ344" s="1755"/>
      <c r="AK344" s="27"/>
      <c r="AL344" s="27"/>
      <c r="AM344" s="27"/>
      <c r="AN344" s="279"/>
      <c r="AQ344"/>
    </row>
    <row r="345" spans="1:76" s="4" customFormat="1" ht="12.75" customHeight="1">
      <c r="A345" s="27"/>
      <c r="B345" s="26"/>
      <c r="C345" s="1755"/>
      <c r="D345" s="1755"/>
      <c r="E345" s="1755"/>
      <c r="F345" s="1755"/>
      <c r="G345" s="1755"/>
      <c r="H345" s="1755"/>
      <c r="I345" s="1755"/>
      <c r="J345" s="1755"/>
      <c r="K345" s="1755"/>
      <c r="L345" s="1755"/>
      <c r="M345" s="1755"/>
      <c r="N345" s="1755"/>
      <c r="O345" s="1755"/>
      <c r="P345" s="1755"/>
      <c r="Q345" s="1755"/>
      <c r="R345" s="1755"/>
      <c r="S345" s="1755"/>
      <c r="T345" s="1755"/>
      <c r="U345" s="1755"/>
      <c r="V345" s="1755"/>
      <c r="W345" s="1755"/>
      <c r="X345" s="1755"/>
      <c r="Y345" s="1755"/>
      <c r="Z345" s="1755"/>
      <c r="AA345" s="1755"/>
      <c r="AB345" s="1755"/>
      <c r="AC345" s="1755"/>
      <c r="AD345" s="1755"/>
      <c r="AE345" s="1755"/>
      <c r="AF345" s="1755"/>
      <c r="AG345" s="1755"/>
      <c r="AH345" s="1755"/>
      <c r="AI345" s="1755"/>
      <c r="AJ345" s="1755"/>
      <c r="AK345" s="27"/>
      <c r="AL345" s="27"/>
      <c r="AM345" s="27"/>
      <c r="AN345" s="279"/>
      <c r="AQ345"/>
    </row>
    <row r="346" spans="1:76" s="4" customFormat="1" ht="12.4" customHeight="1">
      <c r="A346" s="27"/>
      <c r="B346" s="26"/>
      <c r="C346" s="1755"/>
      <c r="D346" s="1755"/>
      <c r="E346" s="1755"/>
      <c r="F346" s="1755"/>
      <c r="G346" s="1755"/>
      <c r="H346" s="1755"/>
      <c r="I346" s="1755"/>
      <c r="J346" s="1755"/>
      <c r="K346" s="1755"/>
      <c r="L346" s="1755"/>
      <c r="M346" s="1755"/>
      <c r="N346" s="1755"/>
      <c r="O346" s="1755"/>
      <c r="P346" s="1755"/>
      <c r="Q346" s="1755"/>
      <c r="R346" s="1755"/>
      <c r="S346" s="1755"/>
      <c r="T346" s="1755"/>
      <c r="U346" s="1755"/>
      <c r="V346" s="1755"/>
      <c r="W346" s="1755"/>
      <c r="X346" s="1755"/>
      <c r="Y346" s="1755"/>
      <c r="Z346" s="1755"/>
      <c r="AA346" s="1755"/>
      <c r="AB346" s="1755"/>
      <c r="AC346" s="1755"/>
      <c r="AD346" s="1755"/>
      <c r="AE346" s="1755"/>
      <c r="AF346" s="1755"/>
      <c r="AG346" s="1755"/>
      <c r="AH346" s="1755"/>
      <c r="AI346" s="1755"/>
      <c r="AJ346" s="1755"/>
      <c r="AK346" s="27"/>
      <c r="AL346" s="27"/>
      <c r="AM346" s="27"/>
      <c r="AN346" s="279"/>
      <c r="AQ346"/>
      <c r="AR346"/>
    </row>
    <row r="347" spans="1:76" s="4" customFormat="1" ht="12.75" customHeight="1">
      <c r="A347" s="27"/>
      <c r="B347" s="26"/>
      <c r="C347" s="1755" t="s">
        <v>2276</v>
      </c>
      <c r="D347" s="1755"/>
      <c r="E347" s="1755"/>
      <c r="F347" s="1755"/>
      <c r="G347" s="1755"/>
      <c r="H347" s="1755"/>
      <c r="I347" s="1755"/>
      <c r="J347" s="1755"/>
      <c r="K347" s="1755"/>
      <c r="L347" s="1755"/>
      <c r="M347" s="1755"/>
      <c r="N347" s="1755"/>
      <c r="O347" s="1755"/>
      <c r="P347" s="1755"/>
      <c r="Q347" s="1755"/>
      <c r="R347" s="1755"/>
      <c r="S347" s="1755"/>
      <c r="T347" s="1755"/>
      <c r="U347" s="1755"/>
      <c r="V347" s="1755"/>
      <c r="W347" s="1755"/>
      <c r="X347" s="1755"/>
      <c r="Y347" s="1755"/>
      <c r="Z347" s="1755"/>
      <c r="AA347" s="1755"/>
      <c r="AB347" s="1755"/>
      <c r="AC347" s="1755"/>
      <c r="AD347" s="1755"/>
      <c r="AE347" s="1755"/>
      <c r="AF347" s="1755"/>
      <c r="AG347" s="1755"/>
      <c r="AH347" s="1755"/>
      <c r="AI347" s="1755"/>
      <c r="AJ347" s="1755"/>
      <c r="AK347" s="27"/>
      <c r="AL347" s="27"/>
      <c r="AM347" s="27"/>
      <c r="AN347" s="279"/>
      <c r="AQ347"/>
      <c r="AR347"/>
    </row>
    <row r="348" spans="1:76" s="4" customFormat="1" ht="12.75" customHeight="1">
      <c r="A348" s="27"/>
      <c r="B348" s="26"/>
      <c r="C348" s="1755"/>
      <c r="D348" s="1755"/>
      <c r="E348" s="1755"/>
      <c r="F348" s="1755"/>
      <c r="G348" s="1755"/>
      <c r="H348" s="1755"/>
      <c r="I348" s="1755"/>
      <c r="J348" s="1755"/>
      <c r="K348" s="1755"/>
      <c r="L348" s="1755"/>
      <c r="M348" s="1755"/>
      <c r="N348" s="1755"/>
      <c r="O348" s="1755"/>
      <c r="P348" s="1755"/>
      <c r="Q348" s="1755"/>
      <c r="R348" s="1755"/>
      <c r="S348" s="1755"/>
      <c r="T348" s="1755"/>
      <c r="U348" s="1755"/>
      <c r="V348" s="1755"/>
      <c r="W348" s="1755"/>
      <c r="X348" s="1755"/>
      <c r="Y348" s="1755"/>
      <c r="Z348" s="1755"/>
      <c r="AA348" s="1755"/>
      <c r="AB348" s="1755"/>
      <c r="AC348" s="1755"/>
      <c r="AD348" s="1755"/>
      <c r="AE348" s="1755"/>
      <c r="AF348" s="1755"/>
      <c r="AG348" s="1755"/>
      <c r="AH348" s="1755"/>
      <c r="AI348" s="1755"/>
      <c r="AJ348" s="1755"/>
      <c r="AK348" s="27"/>
      <c r="AL348" s="27"/>
      <c r="AM348" s="27"/>
      <c r="AN348" s="279"/>
      <c r="AR348"/>
    </row>
    <row r="349" spans="1:76" s="4" customFormat="1" ht="12.75" customHeight="1">
      <c r="A349" s="27"/>
      <c r="B349" s="26"/>
      <c r="C349" s="1755"/>
      <c r="D349" s="1755"/>
      <c r="E349" s="1755"/>
      <c r="F349" s="1755"/>
      <c r="G349" s="1755"/>
      <c r="H349" s="1755"/>
      <c r="I349" s="1755"/>
      <c r="J349" s="1755"/>
      <c r="K349" s="1755"/>
      <c r="L349" s="1755"/>
      <c r="M349" s="1755"/>
      <c r="N349" s="1755"/>
      <c r="O349" s="1755"/>
      <c r="P349" s="1755"/>
      <c r="Q349" s="1755"/>
      <c r="R349" s="1755"/>
      <c r="S349" s="1755"/>
      <c r="T349" s="1755"/>
      <c r="U349" s="1755"/>
      <c r="V349" s="1755"/>
      <c r="W349" s="1755"/>
      <c r="X349" s="1755"/>
      <c r="Y349" s="1755"/>
      <c r="Z349" s="1755"/>
      <c r="AA349" s="1755"/>
      <c r="AB349" s="1755"/>
      <c r="AC349" s="1755"/>
      <c r="AD349" s="1755"/>
      <c r="AE349" s="1755"/>
      <c r="AF349" s="1755"/>
      <c r="AG349" s="1755"/>
      <c r="AH349" s="1755"/>
      <c r="AI349" s="1755"/>
      <c r="AJ349" s="1755"/>
      <c r="AK349" s="27"/>
      <c r="AL349" s="27"/>
      <c r="AM349" s="27"/>
      <c r="AN349" s="279"/>
      <c r="AR349"/>
    </row>
    <row r="350" spans="1:76" s="4" customFormat="1" ht="12.75" customHeight="1">
      <c r="A350" s="27"/>
      <c r="B350" s="26"/>
      <c r="C350" s="1755" t="s">
        <v>1829</v>
      </c>
      <c r="D350" s="1755"/>
      <c r="E350" s="1755"/>
      <c r="F350" s="1755"/>
      <c r="G350" s="1755"/>
      <c r="H350" s="1755"/>
      <c r="I350" s="1755"/>
      <c r="J350" s="1755"/>
      <c r="K350" s="1755"/>
      <c r="L350" s="1755"/>
      <c r="M350" s="1755"/>
      <c r="N350" s="1755"/>
      <c r="O350" s="1755"/>
      <c r="P350" s="1755"/>
      <c r="Q350" s="1755"/>
      <c r="R350" s="1755"/>
      <c r="S350" s="1755"/>
      <c r="T350" s="1755"/>
      <c r="U350" s="1755"/>
      <c r="V350" s="1755"/>
      <c r="W350" s="1755"/>
      <c r="X350" s="1755"/>
      <c r="Y350" s="1755"/>
      <c r="Z350" s="1755"/>
      <c r="AA350" s="1755"/>
      <c r="AB350" s="1755"/>
      <c r="AC350" s="1755"/>
      <c r="AD350" s="1755"/>
      <c r="AE350" s="1755"/>
      <c r="AF350" s="1755"/>
      <c r="AG350" s="1755"/>
      <c r="AH350" s="1755"/>
      <c r="AI350" s="1755"/>
      <c r="AJ350" s="1755"/>
      <c r="AK350" s="27"/>
      <c r="AL350" s="27"/>
      <c r="AM350" s="27"/>
      <c r="AN350" s="279"/>
      <c r="AQ350"/>
      <c r="AR350"/>
    </row>
    <row r="351" spans="1:76" s="4" customFormat="1" ht="12.75" customHeight="1">
      <c r="A351" s="27"/>
      <c r="B351" s="26"/>
      <c r="C351" s="1755"/>
      <c r="D351" s="1755"/>
      <c r="E351" s="1755"/>
      <c r="F351" s="1755"/>
      <c r="G351" s="1755"/>
      <c r="H351" s="1755"/>
      <c r="I351" s="1755"/>
      <c r="J351" s="1755"/>
      <c r="K351" s="1755"/>
      <c r="L351" s="1755"/>
      <c r="M351" s="1755"/>
      <c r="N351" s="1755"/>
      <c r="O351" s="1755"/>
      <c r="P351" s="1755"/>
      <c r="Q351" s="1755"/>
      <c r="R351" s="1755"/>
      <c r="S351" s="1755"/>
      <c r="T351" s="1755"/>
      <c r="U351" s="1755"/>
      <c r="V351" s="1755"/>
      <c r="W351" s="1755"/>
      <c r="X351" s="1755"/>
      <c r="Y351" s="1755"/>
      <c r="Z351" s="1755"/>
      <c r="AA351" s="1755"/>
      <c r="AB351" s="1755"/>
      <c r="AC351" s="1755"/>
      <c r="AD351" s="1755"/>
      <c r="AE351" s="1755"/>
      <c r="AF351" s="1755"/>
      <c r="AG351" s="1755"/>
      <c r="AH351" s="1755"/>
      <c r="AI351" s="1755"/>
      <c r="AJ351" s="1755"/>
      <c r="AK351" s="27"/>
      <c r="AL351" s="27"/>
      <c r="AM351" s="27"/>
      <c r="AN351" s="279"/>
      <c r="AQ351"/>
      <c r="AR351"/>
    </row>
    <row r="352" spans="1:76" s="4" customFormat="1" ht="13.15" customHeight="1">
      <c r="A352" s="27"/>
      <c r="B352" s="26"/>
      <c r="C352" s="1755"/>
      <c r="D352" s="1755"/>
      <c r="E352" s="1755"/>
      <c r="F352" s="1755"/>
      <c r="G352" s="1755"/>
      <c r="H352" s="1755"/>
      <c r="I352" s="1755"/>
      <c r="J352" s="1755"/>
      <c r="K352" s="1755"/>
      <c r="L352" s="1755"/>
      <c r="M352" s="1755"/>
      <c r="N352" s="1755"/>
      <c r="O352" s="1755"/>
      <c r="P352" s="1755"/>
      <c r="Q352" s="1755"/>
      <c r="R352" s="1755"/>
      <c r="S352" s="1755"/>
      <c r="T352" s="1755"/>
      <c r="U352" s="1755"/>
      <c r="V352" s="1755"/>
      <c r="W352" s="1755"/>
      <c r="X352" s="1755"/>
      <c r="Y352" s="1755"/>
      <c r="Z352" s="1755"/>
      <c r="AA352" s="1755"/>
      <c r="AB352" s="1755"/>
      <c r="AC352" s="1755"/>
      <c r="AD352" s="1755"/>
      <c r="AE352" s="1755"/>
      <c r="AF352" s="1755"/>
      <c r="AG352" s="1755"/>
      <c r="AH352" s="1755"/>
      <c r="AI352" s="1755"/>
      <c r="AJ352" s="1755"/>
      <c r="AK352" s="27"/>
      <c r="AL352" s="27"/>
      <c r="AM352" s="27"/>
      <c r="AN352" s="279"/>
      <c r="AQ352"/>
      <c r="AR352"/>
    </row>
    <row r="353" spans="1:46" s="4" customFormat="1" ht="12.75" customHeight="1">
      <c r="A353" s="27"/>
      <c r="B353" s="26"/>
      <c r="C353" s="1755"/>
      <c r="D353" s="1755"/>
      <c r="E353" s="1755"/>
      <c r="F353" s="1755"/>
      <c r="G353" s="1755"/>
      <c r="H353" s="1755"/>
      <c r="I353" s="1755"/>
      <c r="J353" s="1755"/>
      <c r="K353" s="1755"/>
      <c r="L353" s="1755"/>
      <c r="M353" s="1755"/>
      <c r="N353" s="1755"/>
      <c r="O353" s="1755"/>
      <c r="P353" s="1755"/>
      <c r="Q353" s="1755"/>
      <c r="R353" s="1755"/>
      <c r="S353" s="1755"/>
      <c r="T353" s="1755"/>
      <c r="U353" s="1755"/>
      <c r="V353" s="1755"/>
      <c r="W353" s="1755"/>
      <c r="X353" s="1755"/>
      <c r="Y353" s="1755"/>
      <c r="Z353" s="1755"/>
      <c r="AA353" s="1755"/>
      <c r="AB353" s="1755"/>
      <c r="AC353" s="1755"/>
      <c r="AD353" s="1755"/>
      <c r="AE353" s="1755"/>
      <c r="AF353" s="1755"/>
      <c r="AG353" s="1755"/>
      <c r="AH353" s="1755"/>
      <c r="AI353" s="1755"/>
      <c r="AJ353" s="1755"/>
      <c r="AK353" s="27"/>
      <c r="AL353" s="27"/>
      <c r="AM353" s="27"/>
      <c r="AN353" s="279"/>
      <c r="AO353" s="168"/>
      <c r="AP353" s="168"/>
      <c r="AQ353"/>
    </row>
    <row r="354" spans="1:46" s="4" customFormat="1" ht="11.85" customHeight="1">
      <c r="A354" s="27"/>
      <c r="B354" s="26"/>
      <c r="C354" s="1755"/>
      <c r="D354" s="1755"/>
      <c r="E354" s="1755"/>
      <c r="F354" s="1755"/>
      <c r="G354" s="1755"/>
      <c r="H354" s="1755"/>
      <c r="I354" s="1755"/>
      <c r="J354" s="1755"/>
      <c r="K354" s="1755"/>
      <c r="L354" s="1755"/>
      <c r="M354" s="1755"/>
      <c r="N354" s="1755"/>
      <c r="O354" s="1755"/>
      <c r="P354" s="1755"/>
      <c r="Q354" s="1755"/>
      <c r="R354" s="1755"/>
      <c r="S354" s="1755"/>
      <c r="T354" s="1755"/>
      <c r="U354" s="1755"/>
      <c r="V354" s="1755"/>
      <c r="W354" s="1755"/>
      <c r="X354" s="1755"/>
      <c r="Y354" s="1755"/>
      <c r="Z354" s="1755"/>
      <c r="AA354" s="1755"/>
      <c r="AB354" s="1755"/>
      <c r="AC354" s="1755"/>
      <c r="AD354" s="1755"/>
      <c r="AE354" s="1755"/>
      <c r="AF354" s="1755"/>
      <c r="AG354" s="1755"/>
      <c r="AH354" s="1755"/>
      <c r="AI354" s="1755"/>
      <c r="AJ354" s="1755"/>
      <c r="AK354" s="27"/>
      <c r="AL354" s="27"/>
      <c r="AM354" s="27"/>
      <c r="AN354" s="279"/>
      <c r="AO354" s="685" t="s">
        <v>900</v>
      </c>
      <c r="AP354" s="71">
        <f>IF(C379="Yes",5,0)</f>
        <v>0</v>
      </c>
      <c r="AS354" s="3" t="s">
        <v>1765</v>
      </c>
    </row>
    <row r="355" spans="1:46" s="4" customFormat="1" ht="12.75" customHeight="1">
      <c r="A355" s="27"/>
      <c r="B355" s="26"/>
      <c r="C355" s="1755"/>
      <c r="D355" s="1755"/>
      <c r="E355" s="1755"/>
      <c r="F355" s="1755"/>
      <c r="G355" s="1755"/>
      <c r="H355" s="1755"/>
      <c r="I355" s="1755"/>
      <c r="J355" s="1755"/>
      <c r="K355" s="1755"/>
      <c r="L355" s="1755"/>
      <c r="M355" s="1755"/>
      <c r="N355" s="1755"/>
      <c r="O355" s="1755"/>
      <c r="P355" s="1755"/>
      <c r="Q355" s="1755"/>
      <c r="R355" s="1755"/>
      <c r="S355" s="1755"/>
      <c r="T355" s="1755"/>
      <c r="U355" s="1755"/>
      <c r="V355" s="1755"/>
      <c r="W355" s="1755"/>
      <c r="X355" s="1755"/>
      <c r="Y355" s="1755"/>
      <c r="Z355" s="1755"/>
      <c r="AA355" s="1755"/>
      <c r="AB355" s="1755"/>
      <c r="AC355" s="1755"/>
      <c r="AD355" s="1755"/>
      <c r="AE355" s="1755"/>
      <c r="AF355" s="1755"/>
      <c r="AG355" s="1755"/>
      <c r="AH355" s="1755"/>
      <c r="AI355" s="1755"/>
      <c r="AJ355" s="1755"/>
      <c r="AK355" s="27"/>
      <c r="AL355" s="27"/>
      <c r="AM355" s="27"/>
      <c r="AN355" s="279"/>
      <c r="AO355" s="685"/>
      <c r="AP355" s="71"/>
      <c r="AS355" s="1773">
        <f>IF(AQ368=0,AQ381,AQ368)</f>
        <v>10</v>
      </c>
      <c r="AT355" s="1773"/>
    </row>
    <row r="356" spans="1:46" s="4" customFormat="1" ht="12.75" customHeight="1">
      <c r="A356" s="27"/>
      <c r="B356" s="26"/>
      <c r="C356" s="1755"/>
      <c r="D356" s="1755"/>
      <c r="E356" s="1755"/>
      <c r="F356" s="1755"/>
      <c r="G356" s="1755"/>
      <c r="H356" s="1755"/>
      <c r="I356" s="1755"/>
      <c r="J356" s="1755"/>
      <c r="K356" s="1755"/>
      <c r="L356" s="1755"/>
      <c r="M356" s="1755"/>
      <c r="N356" s="1755"/>
      <c r="O356" s="1755"/>
      <c r="P356" s="1755"/>
      <c r="Q356" s="1755"/>
      <c r="R356" s="1755"/>
      <c r="S356" s="1755"/>
      <c r="T356" s="1755"/>
      <c r="U356" s="1755"/>
      <c r="V356" s="1755"/>
      <c r="W356" s="1755"/>
      <c r="X356" s="1755"/>
      <c r="Y356" s="1755"/>
      <c r="Z356" s="1755"/>
      <c r="AA356" s="1755"/>
      <c r="AB356" s="1755"/>
      <c r="AC356" s="1755"/>
      <c r="AD356" s="1755"/>
      <c r="AE356" s="1755"/>
      <c r="AF356" s="1755"/>
      <c r="AG356" s="1755"/>
      <c r="AH356" s="1755"/>
      <c r="AI356" s="1755"/>
      <c r="AJ356" s="1755"/>
      <c r="AK356" s="27"/>
      <c r="AL356" s="27"/>
      <c r="AM356" s="27"/>
      <c r="AN356" s="279"/>
      <c r="AO356" s="685" t="s">
        <v>901</v>
      </c>
      <c r="AP356" s="71">
        <f>IF(C389="Yes",5,0)</f>
        <v>0</v>
      </c>
      <c r="AS356" s="3" t="s">
        <v>1798</v>
      </c>
    </row>
    <row r="357" spans="1:46" s="4" customFormat="1" ht="12.75" customHeight="1">
      <c r="A357" s="27"/>
      <c r="B357" s="26"/>
      <c r="C357" s="1755"/>
      <c r="D357" s="1755"/>
      <c r="E357" s="1755"/>
      <c r="F357" s="1755"/>
      <c r="G357" s="1755"/>
      <c r="H357" s="1755"/>
      <c r="I357" s="1755"/>
      <c r="J357" s="1755"/>
      <c r="K357" s="1755"/>
      <c r="L357" s="1755"/>
      <c r="M357" s="1755"/>
      <c r="N357" s="1755"/>
      <c r="O357" s="1755"/>
      <c r="P357" s="1755"/>
      <c r="Q357" s="1755"/>
      <c r="R357" s="1755"/>
      <c r="S357" s="1755"/>
      <c r="T357" s="1755"/>
      <c r="U357" s="1755"/>
      <c r="V357" s="1755"/>
      <c r="W357" s="1755"/>
      <c r="X357" s="1755"/>
      <c r="Y357" s="1755"/>
      <c r="Z357" s="1755"/>
      <c r="AA357" s="1755"/>
      <c r="AB357" s="1755"/>
      <c r="AC357" s="1755"/>
      <c r="AD357" s="1755"/>
      <c r="AE357" s="1755"/>
      <c r="AF357" s="1755"/>
      <c r="AG357" s="1755"/>
      <c r="AH357" s="1755"/>
      <c r="AI357" s="1755"/>
      <c r="AJ357" s="1755"/>
      <c r="AK357" s="27"/>
      <c r="AL357" s="27"/>
      <c r="AM357" s="27"/>
      <c r="AN357" s="279"/>
      <c r="AO357" s="685"/>
      <c r="AP357" s="71"/>
      <c r="AS357" s="1773">
        <f>IF(AND(AQ368&gt;0,AQ381&gt;0),(AQ368+AQ381)/2,0)</f>
        <v>0</v>
      </c>
      <c r="AT357" s="1773"/>
    </row>
    <row r="358" spans="1:46" s="4" customFormat="1" ht="12.75" customHeight="1">
      <c r="A358" s="27"/>
      <c r="B358" s="26"/>
      <c r="C358" s="1755"/>
      <c r="D358" s="1755"/>
      <c r="E358" s="1755"/>
      <c r="F358" s="1755"/>
      <c r="G358" s="1755"/>
      <c r="H358" s="1755"/>
      <c r="I358" s="1755"/>
      <c r="J358" s="1755"/>
      <c r="K358" s="1755"/>
      <c r="L358" s="1755"/>
      <c r="M358" s="1755"/>
      <c r="N358" s="1755"/>
      <c r="O358" s="1755"/>
      <c r="P358" s="1755"/>
      <c r="Q358" s="1755"/>
      <c r="R358" s="1755"/>
      <c r="S358" s="1755"/>
      <c r="T358" s="1755"/>
      <c r="U358" s="1755"/>
      <c r="V358" s="1755"/>
      <c r="W358" s="1755"/>
      <c r="X358" s="1755"/>
      <c r="Y358" s="1755"/>
      <c r="Z358" s="1755"/>
      <c r="AA358" s="1755"/>
      <c r="AB358" s="1755"/>
      <c r="AC358" s="1755"/>
      <c r="AD358" s="1755"/>
      <c r="AE358" s="1755"/>
      <c r="AF358" s="1755"/>
      <c r="AG358" s="1755"/>
      <c r="AH358" s="1755"/>
      <c r="AI358" s="1755"/>
      <c r="AJ358" s="1755"/>
      <c r="AK358" s="27"/>
      <c r="AL358" s="27"/>
      <c r="AM358" s="27"/>
      <c r="AN358" s="279"/>
      <c r="AO358" s="685" t="s">
        <v>907</v>
      </c>
      <c r="AP358" s="71">
        <f>IF(C399="Yes",7,0)</f>
        <v>7</v>
      </c>
    </row>
    <row r="359" spans="1:46" s="4" customFormat="1" ht="12.75" customHeight="1">
      <c r="A359" s="27"/>
      <c r="B359" s="26"/>
      <c r="C359" s="1755" t="s">
        <v>1830</v>
      </c>
      <c r="D359" s="1755"/>
      <c r="E359" s="1755"/>
      <c r="F359" s="1755"/>
      <c r="G359" s="1755"/>
      <c r="H359" s="1755"/>
      <c r="I359" s="1755"/>
      <c r="J359" s="1755"/>
      <c r="K359" s="1755"/>
      <c r="L359" s="1755"/>
      <c r="M359" s="1755"/>
      <c r="N359" s="1755"/>
      <c r="O359" s="1755"/>
      <c r="P359" s="1755"/>
      <c r="Q359" s="1755"/>
      <c r="R359" s="1755"/>
      <c r="S359" s="1755"/>
      <c r="T359" s="1755"/>
      <c r="U359" s="1755"/>
      <c r="V359" s="1755"/>
      <c r="W359" s="1755"/>
      <c r="X359" s="1755"/>
      <c r="Y359" s="1755"/>
      <c r="Z359" s="1755"/>
      <c r="AA359" s="1755"/>
      <c r="AB359" s="1755"/>
      <c r="AC359" s="1755"/>
      <c r="AD359" s="1755"/>
      <c r="AE359" s="1755"/>
      <c r="AF359" s="1755"/>
      <c r="AG359" s="1755"/>
      <c r="AH359" s="1755"/>
      <c r="AI359" s="1755"/>
      <c r="AJ359" s="1755"/>
      <c r="AK359" s="27"/>
      <c r="AL359" s="27"/>
      <c r="AM359" s="27"/>
      <c r="AN359" s="279"/>
      <c r="AO359" s="279"/>
      <c r="AP359" s="71">
        <f>IF(C401="Yes",5,0)</f>
        <v>0</v>
      </c>
    </row>
    <row r="360" spans="1:46" s="4" customFormat="1" ht="12.75" customHeight="1">
      <c r="A360" s="27"/>
      <c r="B360" s="26"/>
      <c r="C360" s="1755"/>
      <c r="D360" s="1755"/>
      <c r="E360" s="1755"/>
      <c r="F360" s="1755"/>
      <c r="G360" s="1755"/>
      <c r="H360" s="1755"/>
      <c r="I360" s="1755"/>
      <c r="J360" s="1755"/>
      <c r="K360" s="1755"/>
      <c r="L360" s="1755"/>
      <c r="M360" s="1755"/>
      <c r="N360" s="1755"/>
      <c r="O360" s="1755"/>
      <c r="P360" s="1755"/>
      <c r="Q360" s="1755"/>
      <c r="R360" s="1755"/>
      <c r="S360" s="1755"/>
      <c r="T360" s="1755"/>
      <c r="U360" s="1755"/>
      <c r="V360" s="1755"/>
      <c r="W360" s="1755"/>
      <c r="X360" s="1755"/>
      <c r="Y360" s="1755"/>
      <c r="Z360" s="1755"/>
      <c r="AA360" s="1755"/>
      <c r="AB360" s="1755"/>
      <c r="AC360" s="1755"/>
      <c r="AD360" s="1755"/>
      <c r="AE360" s="1755"/>
      <c r="AF360" s="1755"/>
      <c r="AG360" s="1755"/>
      <c r="AH360" s="1755"/>
      <c r="AI360" s="1755"/>
      <c r="AJ360" s="1755"/>
      <c r="AK360" s="27"/>
      <c r="AL360" s="27"/>
      <c r="AM360" s="27"/>
      <c r="AN360" s="279"/>
      <c r="AO360" s="279"/>
      <c r="AP360" s="71"/>
    </row>
    <row r="361" spans="1:46" s="4" customFormat="1" ht="12.75" customHeight="1">
      <c r="A361" s="27"/>
      <c r="B361" s="26"/>
      <c r="C361" s="1755"/>
      <c r="D361" s="1755"/>
      <c r="E361" s="1755"/>
      <c r="F361" s="1755"/>
      <c r="G361" s="1755"/>
      <c r="H361" s="1755"/>
      <c r="I361" s="1755"/>
      <c r="J361" s="1755"/>
      <c r="K361" s="1755"/>
      <c r="L361" s="1755"/>
      <c r="M361" s="1755"/>
      <c r="N361" s="1755"/>
      <c r="O361" s="1755"/>
      <c r="P361" s="1755"/>
      <c r="Q361" s="1755"/>
      <c r="R361" s="1755"/>
      <c r="S361" s="1755"/>
      <c r="T361" s="1755"/>
      <c r="U361" s="1755"/>
      <c r="V361" s="1755"/>
      <c r="W361" s="1755"/>
      <c r="X361" s="1755"/>
      <c r="Y361" s="1755"/>
      <c r="Z361" s="1755"/>
      <c r="AA361" s="1755"/>
      <c r="AB361" s="1755"/>
      <c r="AC361" s="1755"/>
      <c r="AD361" s="1755"/>
      <c r="AE361" s="1755"/>
      <c r="AF361" s="1755"/>
      <c r="AG361" s="1755"/>
      <c r="AH361" s="1755"/>
      <c r="AI361" s="1755"/>
      <c r="AJ361" s="1755"/>
      <c r="AK361" s="27"/>
      <c r="AL361" s="27"/>
      <c r="AM361" s="27"/>
      <c r="AN361" s="279"/>
      <c r="AO361" s="685" t="s">
        <v>431</v>
      </c>
      <c r="AP361" s="71">
        <f>IF(C409="Yes",5,0)</f>
        <v>0</v>
      </c>
    </row>
    <row r="362" spans="1:46" s="4" customFormat="1" ht="11.85" customHeight="1">
      <c r="A362" s="27"/>
      <c r="B362" s="26"/>
      <c r="C362" s="1755"/>
      <c r="D362" s="1755"/>
      <c r="E362" s="1755"/>
      <c r="F362" s="1755"/>
      <c r="G362" s="1755"/>
      <c r="H362" s="1755"/>
      <c r="I362" s="1755"/>
      <c r="J362" s="1755"/>
      <c r="K362" s="1755"/>
      <c r="L362" s="1755"/>
      <c r="M362" s="1755"/>
      <c r="N362" s="1755"/>
      <c r="O362" s="1755"/>
      <c r="P362" s="1755"/>
      <c r="Q362" s="1755"/>
      <c r="R362" s="1755"/>
      <c r="S362" s="1755"/>
      <c r="T362" s="1755"/>
      <c r="U362" s="1755"/>
      <c r="V362" s="1755"/>
      <c r="W362" s="1755"/>
      <c r="X362" s="1755"/>
      <c r="Y362" s="1755"/>
      <c r="Z362" s="1755"/>
      <c r="AA362" s="1755"/>
      <c r="AB362" s="1755"/>
      <c r="AC362" s="1755"/>
      <c r="AD362" s="1755"/>
      <c r="AE362" s="1755"/>
      <c r="AF362" s="1755"/>
      <c r="AG362" s="1755"/>
      <c r="AH362" s="1755"/>
      <c r="AI362" s="1755"/>
      <c r="AJ362" s="1755"/>
      <c r="AK362" s="27"/>
      <c r="AL362" s="27"/>
      <c r="AM362" s="27"/>
      <c r="AN362" s="279"/>
      <c r="AO362" s="279"/>
      <c r="AP362" s="71">
        <f>IF(C411="Yes",3,0)</f>
        <v>3</v>
      </c>
    </row>
    <row r="363" spans="1:46" s="4" customFormat="1" ht="12.4" customHeight="1">
      <c r="A363" s="27"/>
      <c r="B363" s="26"/>
      <c r="C363" s="1755"/>
      <c r="D363" s="1755"/>
      <c r="E363" s="1755"/>
      <c r="F363" s="1755"/>
      <c r="G363" s="1755"/>
      <c r="H363" s="1755"/>
      <c r="I363" s="1755"/>
      <c r="J363" s="1755"/>
      <c r="K363" s="1755"/>
      <c r="L363" s="1755"/>
      <c r="M363" s="1755"/>
      <c r="N363" s="1755"/>
      <c r="O363" s="1755"/>
      <c r="P363" s="1755"/>
      <c r="Q363" s="1755"/>
      <c r="R363" s="1755"/>
      <c r="S363" s="1755"/>
      <c r="T363" s="1755"/>
      <c r="U363" s="1755"/>
      <c r="V363" s="1755"/>
      <c r="W363" s="1755"/>
      <c r="X363" s="1755"/>
      <c r="Y363" s="1755"/>
      <c r="Z363" s="1755"/>
      <c r="AA363" s="1755"/>
      <c r="AB363" s="1755"/>
      <c r="AC363" s="1755"/>
      <c r="AD363" s="1755"/>
      <c r="AE363" s="1755"/>
      <c r="AF363" s="1755"/>
      <c r="AG363" s="1755"/>
      <c r="AH363" s="1755"/>
      <c r="AI363" s="1755"/>
      <c r="AJ363" s="1755"/>
      <c r="AK363" s="27"/>
      <c r="AL363" s="27"/>
      <c r="AM363" s="27"/>
      <c r="AN363" s="279"/>
      <c r="AO363" s="279"/>
      <c r="AP363" s="71"/>
    </row>
    <row r="364" spans="1:46" s="4" customFormat="1" ht="12.75" customHeight="1">
      <c r="A364" s="27"/>
      <c r="B364" s="26"/>
      <c r="C364" s="1755"/>
      <c r="D364" s="1755"/>
      <c r="E364" s="1755"/>
      <c r="F364" s="1755"/>
      <c r="G364" s="1755"/>
      <c r="H364" s="1755"/>
      <c r="I364" s="1755"/>
      <c r="J364" s="1755"/>
      <c r="K364" s="1755"/>
      <c r="L364" s="1755"/>
      <c r="M364" s="1755"/>
      <c r="N364" s="1755"/>
      <c r="O364" s="1755"/>
      <c r="P364" s="1755"/>
      <c r="Q364" s="1755"/>
      <c r="R364" s="1755"/>
      <c r="S364" s="1755"/>
      <c r="T364" s="1755"/>
      <c r="U364" s="1755"/>
      <c r="V364" s="1755"/>
      <c r="W364" s="1755"/>
      <c r="X364" s="1755"/>
      <c r="Y364" s="1755"/>
      <c r="Z364" s="1755"/>
      <c r="AA364" s="1755"/>
      <c r="AB364" s="1755"/>
      <c r="AC364" s="1755"/>
      <c r="AD364" s="1755"/>
      <c r="AE364" s="1755"/>
      <c r="AF364" s="1755"/>
      <c r="AG364" s="1755"/>
      <c r="AH364" s="1755"/>
      <c r="AI364" s="1755"/>
      <c r="AJ364" s="1755"/>
      <c r="AK364" s="27"/>
      <c r="AL364" s="27"/>
      <c r="AM364" s="27"/>
      <c r="AN364" s="279"/>
      <c r="AO364" s="685" t="s">
        <v>171</v>
      </c>
      <c r="AP364" s="71">
        <f>IF(C414="Yes",5,0)</f>
        <v>0</v>
      </c>
    </row>
    <row r="365" spans="1:46" s="4" customFormat="1" ht="12.75" customHeight="1">
      <c r="A365" s="27"/>
      <c r="B365" s="26"/>
      <c r="C365" s="1755"/>
      <c r="D365" s="1755"/>
      <c r="E365" s="1755"/>
      <c r="F365" s="1755"/>
      <c r="G365" s="1755"/>
      <c r="H365" s="1755"/>
      <c r="I365" s="1755"/>
      <c r="J365" s="1755"/>
      <c r="K365" s="1755"/>
      <c r="L365" s="1755"/>
      <c r="M365" s="1755"/>
      <c r="N365" s="1755"/>
      <c r="O365" s="1755"/>
      <c r="P365" s="1755"/>
      <c r="Q365" s="1755"/>
      <c r="R365" s="1755"/>
      <c r="S365" s="1755"/>
      <c r="T365" s="1755"/>
      <c r="U365" s="1755"/>
      <c r="V365" s="1755"/>
      <c r="W365" s="1755"/>
      <c r="X365" s="1755"/>
      <c r="Y365" s="1755"/>
      <c r="Z365" s="1755"/>
      <c r="AA365" s="1755"/>
      <c r="AB365" s="1755"/>
      <c r="AC365" s="1755"/>
      <c r="AD365" s="1755"/>
      <c r="AE365" s="1755"/>
      <c r="AF365" s="1755"/>
      <c r="AG365" s="1755"/>
      <c r="AH365" s="1755"/>
      <c r="AI365" s="1755"/>
      <c r="AJ365" s="1755"/>
      <c r="AK365" s="27"/>
      <c r="AL365" s="27"/>
      <c r="AM365" s="27"/>
      <c r="AN365" s="279"/>
      <c r="AO365" s="685" t="s">
        <v>434</v>
      </c>
      <c r="AP365" s="71">
        <f>IF(C423="Yes",5,0)</f>
        <v>0</v>
      </c>
    </row>
    <row r="366" spans="1:46" s="4" customFormat="1" ht="12.75" customHeight="1">
      <c r="A366" s="27"/>
      <c r="B366" s="26"/>
      <c r="C366" s="1755" t="s">
        <v>1831</v>
      </c>
      <c r="D366" s="1755"/>
      <c r="E366" s="1755"/>
      <c r="F366" s="1755"/>
      <c r="G366" s="1755"/>
      <c r="H366" s="1755"/>
      <c r="I366" s="1755"/>
      <c r="J366" s="1755"/>
      <c r="K366" s="1755"/>
      <c r="L366" s="1755"/>
      <c r="M366" s="1755"/>
      <c r="N366" s="1755"/>
      <c r="O366" s="1755"/>
      <c r="P366" s="1755"/>
      <c r="Q366" s="1755"/>
      <c r="R366" s="1755"/>
      <c r="S366" s="1755"/>
      <c r="T366" s="1755"/>
      <c r="U366" s="1755"/>
      <c r="V366" s="1755"/>
      <c r="W366" s="1755"/>
      <c r="X366" s="1755"/>
      <c r="Y366" s="1755"/>
      <c r="Z366" s="1755"/>
      <c r="AA366" s="1755"/>
      <c r="AB366" s="1755"/>
      <c r="AC366" s="1755"/>
      <c r="AD366" s="1755"/>
      <c r="AE366" s="1755"/>
      <c r="AF366" s="1755"/>
      <c r="AG366" s="1755"/>
      <c r="AH366" s="1755"/>
      <c r="AI366" s="1755"/>
      <c r="AJ366" s="1755"/>
      <c r="AK366" s="27"/>
      <c r="AL366" s="27"/>
      <c r="AM366" s="27"/>
      <c r="AN366" s="279"/>
      <c r="AO366" s="279"/>
      <c r="AP366" s="71">
        <f>IF(C425="Yes",3,0)</f>
        <v>0</v>
      </c>
    </row>
    <row r="367" spans="1:46" s="4" customFormat="1" ht="12.75" customHeight="1">
      <c r="A367" s="27"/>
      <c r="B367" s="26"/>
      <c r="C367" s="1755"/>
      <c r="D367" s="1755"/>
      <c r="E367" s="1755"/>
      <c r="F367" s="1755"/>
      <c r="G367" s="1755"/>
      <c r="H367" s="1755"/>
      <c r="I367" s="1755"/>
      <c r="J367" s="1755"/>
      <c r="K367" s="1755"/>
      <c r="L367" s="1755"/>
      <c r="M367" s="1755"/>
      <c r="N367" s="1755"/>
      <c r="O367" s="1755"/>
      <c r="P367" s="1755"/>
      <c r="Q367" s="1755"/>
      <c r="R367" s="1755"/>
      <c r="S367" s="1755"/>
      <c r="T367" s="1755"/>
      <c r="U367" s="1755"/>
      <c r="V367" s="1755"/>
      <c r="W367" s="1755"/>
      <c r="X367" s="1755"/>
      <c r="Y367" s="1755"/>
      <c r="Z367" s="1755"/>
      <c r="AA367" s="1755"/>
      <c r="AB367" s="1755"/>
      <c r="AC367" s="1755"/>
      <c r="AD367" s="1755"/>
      <c r="AE367" s="1755"/>
      <c r="AF367" s="1755"/>
      <c r="AG367" s="1755"/>
      <c r="AH367" s="1755"/>
      <c r="AI367" s="1755"/>
      <c r="AJ367" s="1755"/>
      <c r="AK367" s="27"/>
      <c r="AL367" s="27"/>
      <c r="AM367" s="27"/>
      <c r="AN367" s="279"/>
      <c r="AO367" s="686"/>
      <c r="AP367" s="55"/>
    </row>
    <row r="368" spans="1:46" s="4" customFormat="1" ht="68.099999999999994" customHeight="1">
      <c r="A368" s="27"/>
      <c r="B368" s="26"/>
      <c r="C368" s="1755"/>
      <c r="D368" s="1755"/>
      <c r="E368" s="1755"/>
      <c r="F368" s="1755"/>
      <c r="G368" s="1755"/>
      <c r="H368" s="1755"/>
      <c r="I368" s="1755"/>
      <c r="J368" s="1755"/>
      <c r="K368" s="1755"/>
      <c r="L368" s="1755"/>
      <c r="M368" s="1755"/>
      <c r="N368" s="1755"/>
      <c r="O368" s="1755"/>
      <c r="P368" s="1755"/>
      <c r="Q368" s="1755"/>
      <c r="R368" s="1755"/>
      <c r="S368" s="1755"/>
      <c r="T368" s="1755"/>
      <c r="U368" s="1755"/>
      <c r="V368" s="1755"/>
      <c r="W368" s="1755"/>
      <c r="X368" s="1755"/>
      <c r="Y368" s="1755"/>
      <c r="Z368" s="1755"/>
      <c r="AA368" s="1755"/>
      <c r="AB368" s="1755"/>
      <c r="AC368" s="1755"/>
      <c r="AD368" s="1755"/>
      <c r="AE368" s="1755"/>
      <c r="AF368" s="1755"/>
      <c r="AG368" s="1755"/>
      <c r="AH368" s="1755"/>
      <c r="AI368" s="1755"/>
      <c r="AJ368" s="1755"/>
      <c r="AK368" s="27"/>
      <c r="AL368" s="27"/>
      <c r="AM368" s="27"/>
      <c r="AN368" s="279"/>
      <c r="AO368" s="687" t="s">
        <v>610</v>
      </c>
      <c r="AP368" s="166">
        <f>SUM(AP354:AP367)</f>
        <v>10</v>
      </c>
      <c r="AQ368" s="1532">
        <f>IF(AP368&gt;0,AP368,0)</f>
        <v>10</v>
      </c>
      <c r="AR368" s="1532"/>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758">
        <f>Application!CQ657-U371</f>
        <v>98</v>
      </c>
      <c r="V370" s="1758"/>
      <c r="W370" s="1758"/>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759">
        <f>IF(Application!D214="SRO",Application!CQ636,Application!AG741)</f>
        <v>0</v>
      </c>
      <c r="V371" s="1759"/>
      <c r="W371" s="1759"/>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45" t="s">
        <v>1774</v>
      </c>
      <c r="G375" s="1745"/>
      <c r="H375" s="1745"/>
      <c r="I375" s="1745"/>
      <c r="J375" s="1745"/>
      <c r="K375" s="1745"/>
      <c r="L375" s="1745"/>
      <c r="M375" s="1745"/>
      <c r="N375" s="1745"/>
      <c r="O375" s="1745"/>
      <c r="P375" s="1745"/>
      <c r="Q375" s="1745"/>
      <c r="R375" s="1745"/>
      <c r="S375" s="1745"/>
      <c r="T375" s="1745"/>
      <c r="U375" s="1745"/>
      <c r="V375" s="1745"/>
      <c r="W375" s="1745"/>
      <c r="X375" s="1745"/>
      <c r="Y375" s="1745"/>
      <c r="Z375" s="1745"/>
      <c r="AA375" s="1745"/>
      <c r="AB375" s="1745"/>
      <c r="AC375" s="1745"/>
      <c r="AD375" s="1745"/>
      <c r="AE375" s="1745"/>
      <c r="AF375" s="1745"/>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98"/>
      <c r="G376" s="1698"/>
      <c r="H376" s="1698"/>
      <c r="I376" s="1698"/>
      <c r="J376" s="1698"/>
      <c r="K376" s="1698"/>
      <c r="L376" s="1698"/>
      <c r="M376" s="1698"/>
      <c r="N376" s="1698"/>
      <c r="O376" s="1698"/>
      <c r="P376" s="1698"/>
      <c r="Q376" s="1698"/>
      <c r="R376" s="1698"/>
      <c r="S376" s="1698"/>
      <c r="T376" s="1698"/>
      <c r="U376" s="1698"/>
      <c r="V376" s="1698"/>
      <c r="W376" s="1698"/>
      <c r="X376" s="1698"/>
      <c r="Y376" s="1698"/>
      <c r="Z376" s="1698"/>
      <c r="AA376" s="1698"/>
      <c r="AB376" s="1698"/>
      <c r="AC376" s="1698"/>
      <c r="AD376" s="1698"/>
      <c r="AE376" s="1698"/>
      <c r="AF376" s="1698"/>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98"/>
      <c r="G377" s="1698"/>
      <c r="H377" s="1698"/>
      <c r="I377" s="1698"/>
      <c r="J377" s="1698"/>
      <c r="K377" s="1698"/>
      <c r="L377" s="1698"/>
      <c r="M377" s="1698"/>
      <c r="N377" s="1698"/>
      <c r="O377" s="1698"/>
      <c r="P377" s="1698"/>
      <c r="Q377" s="1698"/>
      <c r="R377" s="1698"/>
      <c r="S377" s="1698"/>
      <c r="T377" s="1698"/>
      <c r="U377" s="1698"/>
      <c r="V377" s="1698"/>
      <c r="W377" s="1698"/>
      <c r="X377" s="1698"/>
      <c r="Y377" s="1698"/>
      <c r="Z377" s="1698"/>
      <c r="AA377" s="1698"/>
      <c r="AB377" s="1698"/>
      <c r="AC377" s="1698"/>
      <c r="AD377" s="1698"/>
      <c r="AE377" s="1698"/>
      <c r="AF377" s="1698"/>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98"/>
      <c r="G378" s="1698"/>
      <c r="H378" s="1698"/>
      <c r="I378" s="1698"/>
      <c r="J378" s="1698"/>
      <c r="K378" s="1698"/>
      <c r="L378" s="1698"/>
      <c r="M378" s="1698"/>
      <c r="N378" s="1698"/>
      <c r="O378" s="1698"/>
      <c r="P378" s="1698"/>
      <c r="Q378" s="1698"/>
      <c r="R378" s="1698"/>
      <c r="S378" s="1698"/>
      <c r="T378" s="1698"/>
      <c r="U378" s="1698"/>
      <c r="V378" s="1698"/>
      <c r="W378" s="1698"/>
      <c r="X378" s="1698"/>
      <c r="Y378" s="1698"/>
      <c r="Z378" s="1698"/>
      <c r="AA378" s="1698"/>
      <c r="AB378" s="1698"/>
      <c r="AC378" s="1698"/>
      <c r="AD378" s="1698"/>
      <c r="AE378" s="1698"/>
      <c r="AF378" s="1698"/>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44" t="s">
        <v>124</v>
      </c>
      <c r="D379" s="1149"/>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206" t="s">
        <v>319</v>
      </c>
      <c r="AG379" s="1206"/>
      <c r="AH379" s="1206"/>
      <c r="AI379" s="1206"/>
      <c r="AJ379" s="1206"/>
      <c r="AK379" s="1206"/>
      <c r="AL379" s="1757"/>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532">
        <f>IF(AP381&gt;0,AP381,0)</f>
        <v>0</v>
      </c>
      <c r="AR381" s="153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45" t="s">
        <v>1773</v>
      </c>
      <c r="G384" s="1745"/>
      <c r="H384" s="1745"/>
      <c r="I384" s="1745"/>
      <c r="J384" s="1745"/>
      <c r="K384" s="1745"/>
      <c r="L384" s="1745"/>
      <c r="M384" s="1745"/>
      <c r="N384" s="1745"/>
      <c r="O384" s="1745"/>
      <c r="P384" s="1745"/>
      <c r="Q384" s="1745"/>
      <c r="R384" s="1745"/>
      <c r="S384" s="1745"/>
      <c r="T384" s="1745"/>
      <c r="U384" s="1745"/>
      <c r="V384" s="1745"/>
      <c r="W384" s="1745"/>
      <c r="X384" s="1745"/>
      <c r="Y384" s="1745"/>
      <c r="Z384" s="1745"/>
      <c r="AA384" s="1745"/>
      <c r="AB384" s="1745"/>
      <c r="AC384" s="1745"/>
      <c r="AD384" s="1745"/>
      <c r="AE384" s="1745"/>
      <c r="AF384" s="1745"/>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98"/>
      <c r="G385" s="1698"/>
      <c r="H385" s="1698"/>
      <c r="I385" s="1698"/>
      <c r="J385" s="1698"/>
      <c r="K385" s="1698"/>
      <c r="L385" s="1698"/>
      <c r="M385" s="1698"/>
      <c r="N385" s="1698"/>
      <c r="O385" s="1698"/>
      <c r="P385" s="1698"/>
      <c r="Q385" s="1698"/>
      <c r="R385" s="1698"/>
      <c r="S385" s="1698"/>
      <c r="T385" s="1698"/>
      <c r="U385" s="1698"/>
      <c r="V385" s="1698"/>
      <c r="W385" s="1698"/>
      <c r="X385" s="1698"/>
      <c r="Y385" s="1698"/>
      <c r="Z385" s="1698"/>
      <c r="AA385" s="1698"/>
      <c r="AB385" s="1698"/>
      <c r="AC385" s="1698"/>
      <c r="AD385" s="1698"/>
      <c r="AE385" s="1698"/>
      <c r="AF385" s="1698"/>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98"/>
      <c r="G386" s="1698"/>
      <c r="H386" s="1698"/>
      <c r="I386" s="1698"/>
      <c r="J386" s="1698"/>
      <c r="K386" s="1698"/>
      <c r="L386" s="1698"/>
      <c r="M386" s="1698"/>
      <c r="N386" s="1698"/>
      <c r="O386" s="1698"/>
      <c r="P386" s="1698"/>
      <c r="Q386" s="1698"/>
      <c r="R386" s="1698"/>
      <c r="S386" s="1698"/>
      <c r="T386" s="1698"/>
      <c r="U386" s="1698"/>
      <c r="V386" s="1698"/>
      <c r="W386" s="1698"/>
      <c r="X386" s="1698"/>
      <c r="Y386" s="1698"/>
      <c r="Z386" s="1698"/>
      <c r="AA386" s="1698"/>
      <c r="AB386" s="1698"/>
      <c r="AC386" s="1698"/>
      <c r="AD386" s="1698"/>
      <c r="AE386" s="1698"/>
      <c r="AF386" s="1698"/>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98"/>
      <c r="G387" s="1698"/>
      <c r="H387" s="1698"/>
      <c r="I387" s="1698"/>
      <c r="J387" s="1698"/>
      <c r="K387" s="1698"/>
      <c r="L387" s="1698"/>
      <c r="M387" s="1698"/>
      <c r="N387" s="1698"/>
      <c r="O387" s="1698"/>
      <c r="P387" s="1698"/>
      <c r="Q387" s="1698"/>
      <c r="R387" s="1698"/>
      <c r="S387" s="1698"/>
      <c r="T387" s="1698"/>
      <c r="U387" s="1698"/>
      <c r="V387" s="1698"/>
      <c r="W387" s="1698"/>
      <c r="X387" s="1698"/>
      <c r="Y387" s="1698"/>
      <c r="Z387" s="1698"/>
      <c r="AA387" s="1698"/>
      <c r="AB387" s="1698"/>
      <c r="AC387" s="1698"/>
      <c r="AD387" s="1698"/>
      <c r="AE387" s="1698"/>
      <c r="AF387" s="1698"/>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98"/>
      <c r="G388" s="1698"/>
      <c r="H388" s="1698"/>
      <c r="I388" s="1698"/>
      <c r="J388" s="1698"/>
      <c r="K388" s="1698"/>
      <c r="L388" s="1698"/>
      <c r="M388" s="1698"/>
      <c r="N388" s="1698"/>
      <c r="O388" s="1698"/>
      <c r="P388" s="1698"/>
      <c r="Q388" s="1698"/>
      <c r="R388" s="1698"/>
      <c r="S388" s="1698"/>
      <c r="T388" s="1698"/>
      <c r="U388" s="1698"/>
      <c r="V388" s="1698"/>
      <c r="W388" s="1698"/>
      <c r="X388" s="1698"/>
      <c r="Y388" s="1698"/>
      <c r="Z388" s="1698"/>
      <c r="AA388" s="1698"/>
      <c r="AB388" s="1698"/>
      <c r="AC388" s="1698"/>
      <c r="AD388" s="1698"/>
      <c r="AE388" s="1698"/>
      <c r="AF388" s="1698"/>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44" t="s">
        <v>124</v>
      </c>
      <c r="D389" s="1149"/>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206" t="s">
        <v>319</v>
      </c>
      <c r="AG389" s="1206"/>
      <c r="AH389" s="1206"/>
      <c r="AI389" s="1206"/>
      <c r="AJ389" s="1206"/>
      <c r="AK389" s="1206"/>
      <c r="AL389" s="1757"/>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516"/>
      <c r="D391" s="1516"/>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206"/>
      <c r="AG391" s="1206"/>
      <c r="AH391" s="1206"/>
      <c r="AI391" s="1206"/>
      <c r="AJ391" s="1206"/>
      <c r="AK391" s="1206"/>
      <c r="AL391" s="1206"/>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74" t="s">
        <v>1937</v>
      </c>
      <c r="G394" s="1774"/>
      <c r="H394" s="1774"/>
      <c r="I394" s="1774"/>
      <c r="J394" s="1774"/>
      <c r="K394" s="1774"/>
      <c r="L394" s="1774"/>
      <c r="M394" s="1774"/>
      <c r="N394" s="1774"/>
      <c r="O394" s="1774"/>
      <c r="P394" s="1774"/>
      <c r="Q394" s="1774"/>
      <c r="R394" s="1774"/>
      <c r="S394" s="1774"/>
      <c r="T394" s="1774"/>
      <c r="U394" s="1774"/>
      <c r="V394" s="1774"/>
      <c r="W394" s="1774"/>
      <c r="X394" s="1774"/>
      <c r="Y394" s="1774"/>
      <c r="Z394" s="1774"/>
      <c r="AA394" s="1774"/>
      <c r="AB394" s="1774"/>
      <c r="AC394" s="1774"/>
      <c r="AD394" s="1774"/>
      <c r="AE394" s="1774"/>
      <c r="AF394" s="1774"/>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75"/>
      <c r="G395" s="1775"/>
      <c r="H395" s="1775"/>
      <c r="I395" s="1775"/>
      <c r="J395" s="1775"/>
      <c r="K395" s="1775"/>
      <c r="L395" s="1775"/>
      <c r="M395" s="1775"/>
      <c r="N395" s="1775"/>
      <c r="O395" s="1775"/>
      <c r="P395" s="1775"/>
      <c r="Q395" s="1775"/>
      <c r="R395" s="1775"/>
      <c r="S395" s="1775"/>
      <c r="T395" s="1775"/>
      <c r="U395" s="1775"/>
      <c r="V395" s="1775"/>
      <c r="W395" s="1775"/>
      <c r="X395" s="1775"/>
      <c r="Y395" s="1775"/>
      <c r="Z395" s="1775"/>
      <c r="AA395" s="1775"/>
      <c r="AB395" s="1775"/>
      <c r="AC395" s="1775"/>
      <c r="AD395" s="1775"/>
      <c r="AE395" s="1775"/>
      <c r="AF395" s="1775"/>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75"/>
      <c r="G396" s="1775"/>
      <c r="H396" s="1775"/>
      <c r="I396" s="1775"/>
      <c r="J396" s="1775"/>
      <c r="K396" s="1775"/>
      <c r="L396" s="1775"/>
      <c r="M396" s="1775"/>
      <c r="N396" s="1775"/>
      <c r="O396" s="1775"/>
      <c r="P396" s="1775"/>
      <c r="Q396" s="1775"/>
      <c r="R396" s="1775"/>
      <c r="S396" s="1775"/>
      <c r="T396" s="1775"/>
      <c r="U396" s="1775"/>
      <c r="V396" s="1775"/>
      <c r="W396" s="1775"/>
      <c r="X396" s="1775"/>
      <c r="Y396" s="1775"/>
      <c r="Z396" s="1775"/>
      <c r="AA396" s="1775"/>
      <c r="AB396" s="1775"/>
      <c r="AC396" s="1775"/>
      <c r="AD396" s="1775"/>
      <c r="AE396" s="1775"/>
      <c r="AF396" s="1775"/>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75"/>
      <c r="G397" s="1775"/>
      <c r="H397" s="1775"/>
      <c r="I397" s="1775"/>
      <c r="J397" s="1775"/>
      <c r="K397" s="1775"/>
      <c r="L397" s="1775"/>
      <c r="M397" s="1775"/>
      <c r="N397" s="1775"/>
      <c r="O397" s="1775"/>
      <c r="P397" s="1775"/>
      <c r="Q397" s="1775"/>
      <c r="R397" s="1775"/>
      <c r="S397" s="1775"/>
      <c r="T397" s="1775"/>
      <c r="U397" s="1775"/>
      <c r="V397" s="1775"/>
      <c r="W397" s="1775"/>
      <c r="X397" s="1775"/>
      <c r="Y397" s="1775"/>
      <c r="Z397" s="1775"/>
      <c r="AA397" s="1775"/>
      <c r="AB397" s="1775"/>
      <c r="AC397" s="1775"/>
      <c r="AD397" s="1775"/>
      <c r="AE397" s="1775"/>
      <c r="AF397" s="1775"/>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75"/>
      <c r="G398" s="1775"/>
      <c r="H398" s="1775"/>
      <c r="I398" s="1775"/>
      <c r="J398" s="1775"/>
      <c r="K398" s="1775"/>
      <c r="L398" s="1775"/>
      <c r="M398" s="1775"/>
      <c r="N398" s="1775"/>
      <c r="O398" s="1775"/>
      <c r="P398" s="1775"/>
      <c r="Q398" s="1775"/>
      <c r="R398" s="1775"/>
      <c r="S398" s="1775"/>
      <c r="T398" s="1775"/>
      <c r="U398" s="1775"/>
      <c r="V398" s="1775"/>
      <c r="W398" s="1775"/>
      <c r="X398" s="1775"/>
      <c r="Y398" s="1775"/>
      <c r="Z398" s="1775"/>
      <c r="AA398" s="1775"/>
      <c r="AB398" s="1775"/>
      <c r="AC398" s="1775"/>
      <c r="AD398" s="1775"/>
      <c r="AE398" s="1775"/>
      <c r="AF398" s="1775"/>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44" t="s">
        <v>108</v>
      </c>
      <c r="D399" s="1149"/>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206" t="s">
        <v>963</v>
      </c>
      <c r="AG399" s="1206"/>
      <c r="AH399" s="1206"/>
      <c r="AI399" s="1206"/>
      <c r="AJ399" s="1206"/>
      <c r="AK399" s="1206"/>
      <c r="AL399" s="1757"/>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44" t="s">
        <v>124</v>
      </c>
      <c r="D401" s="1149"/>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206" t="s">
        <v>319</v>
      </c>
      <c r="AG401" s="1206"/>
      <c r="AH401" s="1206"/>
      <c r="AI401" s="1206"/>
      <c r="AJ401" s="1206"/>
      <c r="AK401" s="1206"/>
      <c r="AL401" s="1757"/>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45" t="s">
        <v>1772</v>
      </c>
      <c r="G405" s="1745"/>
      <c r="H405" s="1745"/>
      <c r="I405" s="1745"/>
      <c r="J405" s="1745"/>
      <c r="K405" s="1745"/>
      <c r="L405" s="1745"/>
      <c r="M405" s="1745"/>
      <c r="N405" s="1745"/>
      <c r="O405" s="1745"/>
      <c r="P405" s="1745"/>
      <c r="Q405" s="1745"/>
      <c r="R405" s="1745"/>
      <c r="S405" s="1745"/>
      <c r="T405" s="1745"/>
      <c r="U405" s="1745"/>
      <c r="V405" s="1745"/>
      <c r="W405" s="1745"/>
      <c r="X405" s="1745"/>
      <c r="Y405" s="1745"/>
      <c r="Z405" s="1745"/>
      <c r="AA405" s="1745"/>
      <c r="AB405" s="1745"/>
      <c r="AC405" s="1745"/>
      <c r="AD405" s="1745"/>
      <c r="AE405" s="1745"/>
      <c r="AF405" s="1745"/>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98"/>
      <c r="G406" s="1698"/>
      <c r="H406" s="1698"/>
      <c r="I406" s="1698"/>
      <c r="J406" s="1698"/>
      <c r="K406" s="1698"/>
      <c r="L406" s="1698"/>
      <c r="M406" s="1698"/>
      <c r="N406" s="1698"/>
      <c r="O406" s="1698"/>
      <c r="P406" s="1698"/>
      <c r="Q406" s="1698"/>
      <c r="R406" s="1698"/>
      <c r="S406" s="1698"/>
      <c r="T406" s="1698"/>
      <c r="U406" s="1698"/>
      <c r="V406" s="1698"/>
      <c r="W406" s="1698"/>
      <c r="X406" s="1698"/>
      <c r="Y406" s="1698"/>
      <c r="Z406" s="1698"/>
      <c r="AA406" s="1698"/>
      <c r="AB406" s="1698"/>
      <c r="AC406" s="1698"/>
      <c r="AD406" s="1698"/>
      <c r="AE406" s="1698"/>
      <c r="AF406" s="1698"/>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98"/>
      <c r="G407" s="1698"/>
      <c r="H407" s="1698"/>
      <c r="I407" s="1698"/>
      <c r="J407" s="1698"/>
      <c r="K407" s="1698"/>
      <c r="L407" s="1698"/>
      <c r="M407" s="1698"/>
      <c r="N407" s="1698"/>
      <c r="O407" s="1698"/>
      <c r="P407" s="1698"/>
      <c r="Q407" s="1698"/>
      <c r="R407" s="1698"/>
      <c r="S407" s="1698"/>
      <c r="T407" s="1698"/>
      <c r="U407" s="1698"/>
      <c r="V407" s="1698"/>
      <c r="W407" s="1698"/>
      <c r="X407" s="1698"/>
      <c r="Y407" s="1698"/>
      <c r="Z407" s="1698"/>
      <c r="AA407" s="1698"/>
      <c r="AB407" s="1698"/>
      <c r="AC407" s="1698"/>
      <c r="AD407" s="1698"/>
      <c r="AE407" s="1698"/>
      <c r="AF407" s="1698"/>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98"/>
      <c r="G408" s="1698"/>
      <c r="H408" s="1698"/>
      <c r="I408" s="1698"/>
      <c r="J408" s="1698"/>
      <c r="K408" s="1698"/>
      <c r="L408" s="1698"/>
      <c r="M408" s="1698"/>
      <c r="N408" s="1698"/>
      <c r="O408" s="1698"/>
      <c r="P408" s="1698"/>
      <c r="Q408" s="1698"/>
      <c r="R408" s="1698"/>
      <c r="S408" s="1698"/>
      <c r="T408" s="1698"/>
      <c r="U408" s="1698"/>
      <c r="V408" s="1698"/>
      <c r="W408" s="1698"/>
      <c r="X408" s="1698"/>
      <c r="Y408" s="1698"/>
      <c r="Z408" s="1698"/>
      <c r="AA408" s="1698"/>
      <c r="AB408" s="1698"/>
      <c r="AC408" s="1698"/>
      <c r="AD408" s="1698"/>
      <c r="AE408" s="1698"/>
      <c r="AF408" s="1698"/>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44" t="s">
        <v>124</v>
      </c>
      <c r="D409" s="1149"/>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206" t="s">
        <v>319</v>
      </c>
      <c r="AG409" s="1206"/>
      <c r="AH409" s="1206"/>
      <c r="AI409" s="1206"/>
      <c r="AJ409" s="1206"/>
      <c r="AK409" s="1206"/>
      <c r="AL409" s="1757"/>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44" t="s">
        <v>108</v>
      </c>
      <c r="D411" s="1149"/>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206" t="s">
        <v>962</v>
      </c>
      <c r="AG411" s="1206"/>
      <c r="AH411" s="1206"/>
      <c r="AI411" s="1206"/>
      <c r="AJ411" s="1206"/>
      <c r="AK411" s="1206"/>
      <c r="AL411" s="1757"/>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44" t="s">
        <v>124</v>
      </c>
      <c r="D414" s="1149"/>
      <c r="E414" s="695" t="s">
        <v>193</v>
      </c>
      <c r="F414" s="1745" t="s">
        <v>1776</v>
      </c>
      <c r="G414" s="1745"/>
      <c r="H414" s="1745"/>
      <c r="I414" s="1745"/>
      <c r="J414" s="1745"/>
      <c r="K414" s="1745"/>
      <c r="L414" s="1745"/>
      <c r="M414" s="1745"/>
      <c r="N414" s="1745"/>
      <c r="O414" s="1745"/>
      <c r="P414" s="1745"/>
      <c r="Q414" s="1745"/>
      <c r="R414" s="1745"/>
      <c r="S414" s="1745"/>
      <c r="T414" s="1745"/>
      <c r="U414" s="1745"/>
      <c r="V414" s="1745"/>
      <c r="W414" s="1745"/>
      <c r="X414" s="1745"/>
      <c r="Y414" s="1745"/>
      <c r="Z414" s="1745"/>
      <c r="AA414" s="1745"/>
      <c r="AB414" s="1745"/>
      <c r="AC414" s="1745"/>
      <c r="AD414" s="1745"/>
      <c r="AE414" s="1745"/>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98"/>
      <c r="G415" s="1698"/>
      <c r="H415" s="1698"/>
      <c r="I415" s="1698"/>
      <c r="J415" s="1698"/>
      <c r="K415" s="1698"/>
      <c r="L415" s="1698"/>
      <c r="M415" s="1698"/>
      <c r="N415" s="1698"/>
      <c r="O415" s="1698"/>
      <c r="P415" s="1698"/>
      <c r="Q415" s="1698"/>
      <c r="R415" s="1698"/>
      <c r="S415" s="1698"/>
      <c r="T415" s="1698"/>
      <c r="U415" s="1698"/>
      <c r="V415" s="1698"/>
      <c r="W415" s="1698"/>
      <c r="X415" s="1698"/>
      <c r="Y415" s="1698"/>
      <c r="Z415" s="1698"/>
      <c r="AA415" s="1698"/>
      <c r="AB415" s="1698"/>
      <c r="AC415" s="1698"/>
      <c r="AD415" s="1698"/>
      <c r="AE415" s="1698"/>
      <c r="AF415" s="1731" t="s">
        <v>319</v>
      </c>
      <c r="AG415" s="1731"/>
      <c r="AH415" s="1731"/>
      <c r="AI415" s="1731"/>
      <c r="AJ415" s="1731"/>
      <c r="AK415" s="1731"/>
      <c r="AL415" s="1756"/>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98"/>
      <c r="G416" s="1698"/>
      <c r="H416" s="1698"/>
      <c r="I416" s="1698"/>
      <c r="J416" s="1698"/>
      <c r="K416" s="1698"/>
      <c r="L416" s="1698"/>
      <c r="M416" s="1698"/>
      <c r="N416" s="1698"/>
      <c r="O416" s="1698"/>
      <c r="P416" s="1698"/>
      <c r="Q416" s="1698"/>
      <c r="R416" s="1698"/>
      <c r="S416" s="1698"/>
      <c r="T416" s="1698"/>
      <c r="U416" s="1698"/>
      <c r="V416" s="1698"/>
      <c r="W416" s="1698"/>
      <c r="X416" s="1698"/>
      <c r="Y416" s="1698"/>
      <c r="Z416" s="1698"/>
      <c r="AA416" s="1698"/>
      <c r="AB416" s="1698"/>
      <c r="AC416" s="1698"/>
      <c r="AD416" s="1698"/>
      <c r="AE416" s="1698"/>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46"/>
      <c r="G417" s="1746"/>
      <c r="H417" s="1746"/>
      <c r="I417" s="1746"/>
      <c r="J417" s="1746"/>
      <c r="K417" s="1746"/>
      <c r="L417" s="1746"/>
      <c r="M417" s="1746"/>
      <c r="N417" s="1746"/>
      <c r="O417" s="1746"/>
      <c r="P417" s="1746"/>
      <c r="Q417" s="1746"/>
      <c r="R417" s="1746"/>
      <c r="S417" s="1746"/>
      <c r="T417" s="1746"/>
      <c r="U417" s="1746"/>
      <c r="V417" s="1746"/>
      <c r="W417" s="1746"/>
      <c r="X417" s="1746"/>
      <c r="Y417" s="1746"/>
      <c r="Z417" s="1746"/>
      <c r="AA417" s="1746"/>
      <c r="AB417" s="1746"/>
      <c r="AC417" s="1746"/>
      <c r="AD417" s="1746"/>
      <c r="AE417" s="1746"/>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45" t="s">
        <v>1778</v>
      </c>
      <c r="G419" s="1745"/>
      <c r="H419" s="1745"/>
      <c r="I419" s="1745"/>
      <c r="J419" s="1745"/>
      <c r="K419" s="1745"/>
      <c r="L419" s="1745"/>
      <c r="M419" s="1745"/>
      <c r="N419" s="1745"/>
      <c r="O419" s="1745"/>
      <c r="P419" s="1745"/>
      <c r="Q419" s="1745"/>
      <c r="R419" s="1745"/>
      <c r="S419" s="1745"/>
      <c r="T419" s="1745"/>
      <c r="U419" s="1745"/>
      <c r="V419" s="1745"/>
      <c r="W419" s="1745"/>
      <c r="X419" s="1745"/>
      <c r="Y419" s="1745"/>
      <c r="Z419" s="1745"/>
      <c r="AA419" s="1745"/>
      <c r="AB419" s="1745"/>
      <c r="AC419" s="1745"/>
      <c r="AD419" s="1745"/>
      <c r="AE419" s="1745"/>
      <c r="AF419" s="715"/>
      <c r="AG419" s="715"/>
      <c r="AH419" s="715"/>
      <c r="AI419" s="715"/>
      <c r="AJ419" s="715"/>
      <c r="AK419" s="715"/>
      <c r="AL419" s="716"/>
      <c r="AM419"/>
    </row>
    <row r="420" spans="1:55">
      <c r="A420" s="5"/>
      <c r="C420" s="701"/>
      <c r="E420" s="192"/>
      <c r="F420" s="1698"/>
      <c r="G420" s="1698"/>
      <c r="H420" s="1698"/>
      <c r="I420" s="1698"/>
      <c r="J420" s="1698"/>
      <c r="K420" s="1698"/>
      <c r="L420" s="1698"/>
      <c r="M420" s="1698"/>
      <c r="N420" s="1698"/>
      <c r="O420" s="1698"/>
      <c r="P420" s="1698"/>
      <c r="Q420" s="1698"/>
      <c r="R420" s="1698"/>
      <c r="S420" s="1698"/>
      <c r="T420" s="1698"/>
      <c r="U420" s="1698"/>
      <c r="V420" s="1698"/>
      <c r="W420" s="1698"/>
      <c r="X420" s="1698"/>
      <c r="Y420" s="1698"/>
      <c r="Z420" s="1698"/>
      <c r="AA420" s="1698"/>
      <c r="AB420" s="1698"/>
      <c r="AC420" s="1698"/>
      <c r="AD420" s="1698"/>
      <c r="AE420" s="1698"/>
      <c r="AF420" s="3"/>
      <c r="AG420" s="5"/>
      <c r="AH420" s="4"/>
      <c r="AI420" s="4"/>
      <c r="AJ420" s="4"/>
      <c r="AK420" s="4"/>
      <c r="AL420" s="702"/>
      <c r="AM420"/>
    </row>
    <row r="421" spans="1:55" s="4" customFormat="1" ht="12.75" customHeight="1">
      <c r="A421" s="5"/>
      <c r="B421" s="21"/>
      <c r="C421" s="701"/>
      <c r="D421" s="21"/>
      <c r="E421" s="192"/>
      <c r="F421" s="1698"/>
      <c r="G421" s="1698"/>
      <c r="H421" s="1698"/>
      <c r="I421" s="1698"/>
      <c r="J421" s="1698"/>
      <c r="K421" s="1698"/>
      <c r="L421" s="1698"/>
      <c r="M421" s="1698"/>
      <c r="N421" s="1698"/>
      <c r="O421" s="1698"/>
      <c r="P421" s="1698"/>
      <c r="Q421" s="1698"/>
      <c r="R421" s="1698"/>
      <c r="S421" s="1698"/>
      <c r="T421" s="1698"/>
      <c r="U421" s="1698"/>
      <c r="V421" s="1698"/>
      <c r="W421" s="1698"/>
      <c r="X421" s="1698"/>
      <c r="Y421" s="1698"/>
      <c r="Z421" s="1698"/>
      <c r="AA421" s="1698"/>
      <c r="AB421" s="1698"/>
      <c r="AC421" s="1698"/>
      <c r="AD421" s="1698"/>
      <c r="AE421" s="1698"/>
      <c r="AL421" s="702"/>
      <c r="AM421"/>
      <c r="AN421" s="279"/>
    </row>
    <row r="422" spans="1:55" s="4" customFormat="1" ht="12.75" customHeight="1">
      <c r="A422" s="5"/>
      <c r="B422" s="21"/>
      <c r="C422" s="704"/>
      <c r="F422" s="1698"/>
      <c r="G422" s="1698"/>
      <c r="H422" s="1698"/>
      <c r="I422" s="1698"/>
      <c r="J422" s="1698"/>
      <c r="K422" s="1698"/>
      <c r="L422" s="1698"/>
      <c r="M422" s="1698"/>
      <c r="N422" s="1698"/>
      <c r="O422" s="1698"/>
      <c r="P422" s="1698"/>
      <c r="Q422" s="1698"/>
      <c r="R422" s="1698"/>
      <c r="S422" s="1698"/>
      <c r="T422" s="1698"/>
      <c r="U422" s="1698"/>
      <c r="V422" s="1698"/>
      <c r="W422" s="1698"/>
      <c r="X422" s="1698"/>
      <c r="Y422" s="1698"/>
      <c r="Z422" s="1698"/>
      <c r="AA422" s="1698"/>
      <c r="AB422" s="1698"/>
      <c r="AC422" s="1698"/>
      <c r="AD422" s="1698"/>
      <c r="AE422" s="1698"/>
      <c r="AL422" s="702"/>
      <c r="AM422"/>
      <c r="AN422" s="279"/>
    </row>
    <row r="423" spans="1:55" s="4" customFormat="1" ht="12.75" customHeight="1">
      <c r="A423" s="5"/>
      <c r="B423" s="21"/>
      <c r="C423" s="1744" t="s">
        <v>124</v>
      </c>
      <c r="D423" s="1149"/>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31" t="s">
        <v>319</v>
      </c>
      <c r="AG423" s="1731"/>
      <c r="AH423" s="1731"/>
      <c r="AI423" s="1731"/>
      <c r="AJ423" s="1731"/>
      <c r="AK423" s="1731"/>
      <c r="AL423" s="1756"/>
      <c r="AM423"/>
      <c r="AN423" s="279"/>
    </row>
    <row r="424" spans="1:55" s="4" customFormat="1" ht="12.75" customHeight="1">
      <c r="A424" s="5"/>
      <c r="B424" s="21"/>
      <c r="C424" s="704"/>
      <c r="AL424" s="702"/>
      <c r="AM424"/>
      <c r="AN424" s="279"/>
    </row>
    <row r="425" spans="1:55" s="4" customFormat="1" ht="12.75" customHeight="1">
      <c r="A425" s="5"/>
      <c r="B425" s="21"/>
      <c r="C425" s="1744" t="s">
        <v>124</v>
      </c>
      <c r="D425" s="1149"/>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31" t="s">
        <v>962</v>
      </c>
      <c r="AG425" s="1731"/>
      <c r="AH425" s="1731"/>
      <c r="AI425" s="1731"/>
      <c r="AJ425" s="1731"/>
      <c r="AK425" s="1731"/>
      <c r="AL425" s="1756"/>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45" t="s">
        <v>1779</v>
      </c>
      <c r="G429" s="1745"/>
      <c r="H429" s="1745"/>
      <c r="I429" s="1745"/>
      <c r="J429" s="1745"/>
      <c r="K429" s="1745"/>
      <c r="L429" s="1745"/>
      <c r="M429" s="1745"/>
      <c r="N429" s="1745"/>
      <c r="O429" s="1745"/>
      <c r="P429" s="1745"/>
      <c r="Q429" s="1745"/>
      <c r="R429" s="1745"/>
      <c r="S429" s="1745"/>
      <c r="T429" s="1745"/>
      <c r="U429" s="1745"/>
      <c r="V429" s="1745"/>
      <c r="W429" s="1745"/>
      <c r="X429" s="1745"/>
      <c r="Y429" s="1745"/>
      <c r="Z429" s="1745"/>
      <c r="AA429" s="1745"/>
      <c r="AB429" s="1745"/>
      <c r="AC429" s="1745"/>
      <c r="AD429" s="1745"/>
      <c r="AE429" s="1745"/>
      <c r="AF429" s="694"/>
      <c r="AG429" s="694"/>
      <c r="AH429" s="694"/>
      <c r="AI429" s="694"/>
      <c r="AJ429" s="694"/>
      <c r="AK429" s="694"/>
      <c r="AL429" s="718"/>
      <c r="AM429"/>
      <c r="AN429" s="279"/>
    </row>
    <row r="430" spans="1:55" s="4" customFormat="1" ht="12.75" customHeight="1">
      <c r="A430" s="5"/>
      <c r="B430" s="73"/>
      <c r="C430" s="719"/>
      <c r="D430" s="73"/>
      <c r="E430" s="192"/>
      <c r="F430" s="1698"/>
      <c r="G430" s="1698"/>
      <c r="H430" s="1698"/>
      <c r="I430" s="1698"/>
      <c r="J430" s="1698"/>
      <c r="K430" s="1698"/>
      <c r="L430" s="1698"/>
      <c r="M430" s="1698"/>
      <c r="N430" s="1698"/>
      <c r="O430" s="1698"/>
      <c r="P430" s="1698"/>
      <c r="Q430" s="1698"/>
      <c r="R430" s="1698"/>
      <c r="S430" s="1698"/>
      <c r="T430" s="1698"/>
      <c r="U430" s="1698"/>
      <c r="V430" s="1698"/>
      <c r="W430" s="1698"/>
      <c r="X430" s="1698"/>
      <c r="Y430" s="1698"/>
      <c r="Z430" s="1698"/>
      <c r="AA430" s="1698"/>
      <c r="AB430" s="1698"/>
      <c r="AC430" s="1698"/>
      <c r="AD430" s="1698"/>
      <c r="AE430" s="1698"/>
      <c r="AF430" s="3"/>
      <c r="AG430" s="5"/>
      <c r="AL430" s="702"/>
      <c r="AM430"/>
      <c r="AN430" s="279"/>
    </row>
    <row r="431" spans="1:55" s="4" customFormat="1" ht="12.4" customHeight="1">
      <c r="A431" s="5"/>
      <c r="B431" s="73"/>
      <c r="C431" s="719"/>
      <c r="D431" s="73"/>
      <c r="E431" s="192"/>
      <c r="F431" s="1698"/>
      <c r="G431" s="1698"/>
      <c r="H431" s="1698"/>
      <c r="I431" s="1698"/>
      <c r="J431" s="1698"/>
      <c r="K431" s="1698"/>
      <c r="L431" s="1698"/>
      <c r="M431" s="1698"/>
      <c r="N431" s="1698"/>
      <c r="O431" s="1698"/>
      <c r="P431" s="1698"/>
      <c r="Q431" s="1698"/>
      <c r="R431" s="1698"/>
      <c r="S431" s="1698"/>
      <c r="T431" s="1698"/>
      <c r="U431" s="1698"/>
      <c r="V431" s="1698"/>
      <c r="W431" s="1698"/>
      <c r="X431" s="1698"/>
      <c r="Y431" s="1698"/>
      <c r="Z431" s="1698"/>
      <c r="AA431" s="1698"/>
      <c r="AB431" s="1698"/>
      <c r="AC431" s="1698"/>
      <c r="AD431" s="1698"/>
      <c r="AE431" s="1698"/>
      <c r="AL431" s="702"/>
      <c r="AM431"/>
      <c r="AN431" s="279"/>
    </row>
    <row r="432" spans="1:55" s="4" customFormat="1" ht="12.75" customHeight="1">
      <c r="A432" s="5"/>
      <c r="B432" s="73"/>
      <c r="C432" s="1744" t="s">
        <v>124</v>
      </c>
      <c r="D432" s="1149"/>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31" t="s">
        <v>319</v>
      </c>
      <c r="AG432" s="1731"/>
      <c r="AH432" s="1731"/>
      <c r="AI432" s="1731"/>
      <c r="AJ432" s="1731"/>
      <c r="AK432" s="1731"/>
      <c r="AL432" s="1756"/>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45" t="s">
        <v>1780</v>
      </c>
      <c r="G435" s="1745"/>
      <c r="H435" s="1745"/>
      <c r="I435" s="1745"/>
      <c r="J435" s="1745"/>
      <c r="K435" s="1745"/>
      <c r="L435" s="1745"/>
      <c r="M435" s="1745"/>
      <c r="N435" s="1745"/>
      <c r="O435" s="1745"/>
      <c r="P435" s="1745"/>
      <c r="Q435" s="1745"/>
      <c r="R435" s="1745"/>
      <c r="S435" s="1745"/>
      <c r="T435" s="1745"/>
      <c r="U435" s="1745"/>
      <c r="V435" s="1745"/>
      <c r="W435" s="1745"/>
      <c r="X435" s="1745"/>
      <c r="Y435" s="1745"/>
      <c r="Z435" s="1745"/>
      <c r="AA435" s="1745"/>
      <c r="AB435" s="1745"/>
      <c r="AC435" s="1745"/>
      <c r="AD435" s="1745"/>
      <c r="AE435" s="1745"/>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98"/>
      <c r="G436" s="1698"/>
      <c r="H436" s="1698"/>
      <c r="I436" s="1698"/>
      <c r="J436" s="1698"/>
      <c r="K436" s="1698"/>
      <c r="L436" s="1698"/>
      <c r="M436" s="1698"/>
      <c r="N436" s="1698"/>
      <c r="O436" s="1698"/>
      <c r="P436" s="1698"/>
      <c r="Q436" s="1698"/>
      <c r="R436" s="1698"/>
      <c r="S436" s="1698"/>
      <c r="T436" s="1698"/>
      <c r="U436" s="1698"/>
      <c r="V436" s="1698"/>
      <c r="W436" s="1698"/>
      <c r="X436" s="1698"/>
      <c r="Y436" s="1698"/>
      <c r="Z436" s="1698"/>
      <c r="AA436" s="1698"/>
      <c r="AB436" s="1698"/>
      <c r="AC436" s="1698"/>
      <c r="AD436" s="1698"/>
      <c r="AE436" s="1698"/>
      <c r="AF436" s="106"/>
      <c r="AG436" s="106"/>
      <c r="AH436" s="106"/>
      <c r="AI436" s="106"/>
      <c r="AJ436" s="106"/>
      <c r="AK436" s="106"/>
      <c r="AL436" s="781"/>
      <c r="AM436"/>
      <c r="AO436" s="4"/>
      <c r="AP436" s="4"/>
    </row>
    <row r="437" spans="1:60" s="4" customFormat="1" ht="12.75" customHeight="1">
      <c r="A437" s="5"/>
      <c r="B437" s="73"/>
      <c r="C437" s="719"/>
      <c r="D437" s="73"/>
      <c r="E437" s="192"/>
      <c r="F437" s="1698"/>
      <c r="G437" s="1698"/>
      <c r="H437" s="1698"/>
      <c r="I437" s="1698"/>
      <c r="J437" s="1698"/>
      <c r="K437" s="1698"/>
      <c r="L437" s="1698"/>
      <c r="M437" s="1698"/>
      <c r="N437" s="1698"/>
      <c r="O437" s="1698"/>
      <c r="P437" s="1698"/>
      <c r="Q437" s="1698"/>
      <c r="R437" s="1698"/>
      <c r="S437" s="1698"/>
      <c r="T437" s="1698"/>
      <c r="U437" s="1698"/>
      <c r="V437" s="1698"/>
      <c r="W437" s="1698"/>
      <c r="X437" s="1698"/>
      <c r="Y437" s="1698"/>
      <c r="Z437" s="1698"/>
      <c r="AA437" s="1698"/>
      <c r="AB437" s="1698"/>
      <c r="AC437" s="1698"/>
      <c r="AD437" s="1698"/>
      <c r="AE437" s="1698"/>
      <c r="AF437" s="106"/>
      <c r="AG437" s="106"/>
      <c r="AH437" s="106"/>
      <c r="AI437" s="106"/>
      <c r="AJ437" s="106"/>
      <c r="AK437" s="106"/>
      <c r="AL437" s="781"/>
      <c r="AM437"/>
      <c r="AN437" s="279"/>
    </row>
    <row r="438" spans="1:60" s="4" customFormat="1" ht="12.75" customHeight="1">
      <c r="A438" s="5"/>
      <c r="B438" s="73"/>
      <c r="C438" s="720"/>
      <c r="D438" s="1"/>
      <c r="E438" s="223"/>
      <c r="F438" s="1698"/>
      <c r="G438" s="1698"/>
      <c r="H438" s="1698"/>
      <c r="I438" s="1698"/>
      <c r="J438" s="1698"/>
      <c r="K438" s="1698"/>
      <c r="L438" s="1698"/>
      <c r="M438" s="1698"/>
      <c r="N438" s="1698"/>
      <c r="O438" s="1698"/>
      <c r="P438" s="1698"/>
      <c r="Q438" s="1698"/>
      <c r="R438" s="1698"/>
      <c r="S438" s="1698"/>
      <c r="T438" s="1698"/>
      <c r="U438" s="1698"/>
      <c r="V438" s="1698"/>
      <c r="W438" s="1698"/>
      <c r="X438" s="1698"/>
      <c r="Y438" s="1698"/>
      <c r="Z438" s="1698"/>
      <c r="AA438" s="1698"/>
      <c r="AB438" s="1698"/>
      <c r="AC438" s="1698"/>
      <c r="AD438" s="1698"/>
      <c r="AE438" s="1698"/>
      <c r="AF438" s="106"/>
      <c r="AG438" s="106"/>
      <c r="AH438" s="106"/>
      <c r="AI438" s="106"/>
      <c r="AJ438" s="106"/>
      <c r="AK438" s="106"/>
      <c r="AL438" s="781"/>
      <c r="AM438"/>
      <c r="AN438" s="279"/>
      <c r="AO438" s="38"/>
      <c r="AP438" s="21"/>
    </row>
    <row r="439" spans="1:60" s="4" customFormat="1" ht="12.75" customHeight="1">
      <c r="A439" s="5"/>
      <c r="B439" s="73"/>
      <c r="C439" s="720"/>
      <c r="D439" s="1"/>
      <c r="E439" s="223"/>
      <c r="F439" s="1698"/>
      <c r="G439" s="1698"/>
      <c r="H439" s="1698"/>
      <c r="I439" s="1698"/>
      <c r="J439" s="1698"/>
      <c r="K439" s="1698"/>
      <c r="L439" s="1698"/>
      <c r="M439" s="1698"/>
      <c r="N439" s="1698"/>
      <c r="O439" s="1698"/>
      <c r="P439" s="1698"/>
      <c r="Q439" s="1698"/>
      <c r="R439" s="1698"/>
      <c r="S439" s="1698"/>
      <c r="T439" s="1698"/>
      <c r="U439" s="1698"/>
      <c r="V439" s="1698"/>
      <c r="W439" s="1698"/>
      <c r="X439" s="1698"/>
      <c r="Y439" s="1698"/>
      <c r="Z439" s="1698"/>
      <c r="AA439" s="1698"/>
      <c r="AB439" s="1698"/>
      <c r="AC439" s="1698"/>
      <c r="AD439" s="1698"/>
      <c r="AE439" s="1698"/>
      <c r="AF439" s="106"/>
      <c r="AG439" s="106"/>
      <c r="AH439" s="106"/>
      <c r="AI439" s="106"/>
      <c r="AJ439" s="106"/>
      <c r="AK439" s="106"/>
      <c r="AL439" s="781"/>
      <c r="AM439"/>
      <c r="AN439" s="279"/>
    </row>
    <row r="440" spans="1:60" s="4" customFormat="1" ht="12.75" customHeight="1">
      <c r="A440" s="5"/>
      <c r="B440" s="73"/>
      <c r="C440" s="720"/>
      <c r="D440" s="1"/>
      <c r="E440" s="223"/>
      <c r="F440" s="1698"/>
      <c r="G440" s="1698"/>
      <c r="H440" s="1698"/>
      <c r="I440" s="1698"/>
      <c r="J440" s="1698"/>
      <c r="K440" s="1698"/>
      <c r="L440" s="1698"/>
      <c r="M440" s="1698"/>
      <c r="N440" s="1698"/>
      <c r="O440" s="1698"/>
      <c r="P440" s="1698"/>
      <c r="Q440" s="1698"/>
      <c r="R440" s="1698"/>
      <c r="S440" s="1698"/>
      <c r="T440" s="1698"/>
      <c r="U440" s="1698"/>
      <c r="V440" s="1698"/>
      <c r="W440" s="1698"/>
      <c r="X440" s="1698"/>
      <c r="Y440" s="1698"/>
      <c r="Z440" s="1698"/>
      <c r="AA440" s="1698"/>
      <c r="AB440" s="1698"/>
      <c r="AC440" s="1698"/>
      <c r="AD440" s="1698"/>
      <c r="AE440" s="1698"/>
      <c r="AF440" s="106"/>
      <c r="AG440" s="106"/>
      <c r="AH440" s="106"/>
      <c r="AI440" s="106"/>
      <c r="AJ440" s="106"/>
      <c r="AK440" s="106"/>
      <c r="AL440" s="781"/>
      <c r="AM440"/>
      <c r="AN440" s="279"/>
    </row>
    <row r="441" spans="1:60" s="4" customFormat="1" ht="12.75" customHeight="1">
      <c r="A441" s="5"/>
      <c r="B441" s="73"/>
      <c r="C441" s="720"/>
      <c r="D441" s="1"/>
      <c r="E441" s="223"/>
      <c r="F441" s="1698"/>
      <c r="G441" s="1698"/>
      <c r="H441" s="1698"/>
      <c r="I441" s="1698"/>
      <c r="J441" s="1698"/>
      <c r="K441" s="1698"/>
      <c r="L441" s="1698"/>
      <c r="M441" s="1698"/>
      <c r="N441" s="1698"/>
      <c r="O441" s="1698"/>
      <c r="P441" s="1698"/>
      <c r="Q441" s="1698"/>
      <c r="R441" s="1698"/>
      <c r="S441" s="1698"/>
      <c r="T441" s="1698"/>
      <c r="U441" s="1698"/>
      <c r="V441" s="1698"/>
      <c r="W441" s="1698"/>
      <c r="X441" s="1698"/>
      <c r="Y441" s="1698"/>
      <c r="Z441" s="1698"/>
      <c r="AA441" s="1698"/>
      <c r="AB441" s="1698"/>
      <c r="AC441" s="1698"/>
      <c r="AD441" s="1698"/>
      <c r="AE441" s="1698"/>
      <c r="AF441" s="106"/>
      <c r="AG441" s="106"/>
      <c r="AH441" s="106"/>
      <c r="AI441" s="106"/>
      <c r="AJ441" s="106"/>
      <c r="AK441" s="106"/>
      <c r="AL441" s="781"/>
      <c r="AM441"/>
      <c r="AN441" s="279"/>
    </row>
    <row r="442" spans="1:60" s="4" customFormat="1" ht="12.75" customHeight="1">
      <c r="A442" s="5"/>
      <c r="B442" s="73"/>
      <c r="C442" s="720"/>
      <c r="D442" s="1"/>
      <c r="E442" s="223"/>
      <c r="F442" s="1698"/>
      <c r="G442" s="1698"/>
      <c r="H442" s="1698"/>
      <c r="I442" s="1698"/>
      <c r="J442" s="1698"/>
      <c r="K442" s="1698"/>
      <c r="L442" s="1698"/>
      <c r="M442" s="1698"/>
      <c r="N442" s="1698"/>
      <c r="O442" s="1698"/>
      <c r="P442" s="1698"/>
      <c r="Q442" s="1698"/>
      <c r="R442" s="1698"/>
      <c r="S442" s="1698"/>
      <c r="T442" s="1698"/>
      <c r="U442" s="1698"/>
      <c r="V442" s="1698"/>
      <c r="W442" s="1698"/>
      <c r="X442" s="1698"/>
      <c r="Y442" s="1698"/>
      <c r="Z442" s="1698"/>
      <c r="AA442" s="1698"/>
      <c r="AB442" s="1698"/>
      <c r="AC442" s="1698"/>
      <c r="AD442" s="1698"/>
      <c r="AE442" s="1698"/>
      <c r="AF442" s="106"/>
      <c r="AG442" s="106"/>
      <c r="AH442" s="106"/>
      <c r="AI442" s="106"/>
      <c r="AJ442" s="106"/>
      <c r="AK442" s="106"/>
      <c r="AL442" s="781"/>
      <c r="AM442"/>
      <c r="AN442" s="279"/>
    </row>
    <row r="443" spans="1:60" s="4" customFormat="1" ht="17.25" customHeight="1">
      <c r="A443" s="5"/>
      <c r="B443" s="73"/>
      <c r="C443" s="720"/>
      <c r="D443" s="1"/>
      <c r="E443" s="223"/>
      <c r="F443" s="1698"/>
      <c r="G443" s="1698"/>
      <c r="H443" s="1698"/>
      <c r="I443" s="1698"/>
      <c r="J443" s="1698"/>
      <c r="K443" s="1698"/>
      <c r="L443" s="1698"/>
      <c r="M443" s="1698"/>
      <c r="N443" s="1698"/>
      <c r="O443" s="1698"/>
      <c r="P443" s="1698"/>
      <c r="Q443" s="1698"/>
      <c r="R443" s="1698"/>
      <c r="S443" s="1698"/>
      <c r="T443" s="1698"/>
      <c r="U443" s="1698"/>
      <c r="V443" s="1698"/>
      <c r="W443" s="1698"/>
      <c r="X443" s="1698"/>
      <c r="Y443" s="1698"/>
      <c r="Z443" s="1698"/>
      <c r="AA443" s="1698"/>
      <c r="AB443" s="1698"/>
      <c r="AC443" s="1698"/>
      <c r="AD443" s="1698"/>
      <c r="AE443" s="1698"/>
      <c r="AL443" s="702"/>
      <c r="AM443"/>
      <c r="AN443" s="279"/>
    </row>
    <row r="444" spans="1:60" s="4" customFormat="1" ht="12.75" customHeight="1">
      <c r="A444" s="5"/>
      <c r="B444" s="21"/>
      <c r="C444" s="1744" t="s">
        <v>124</v>
      </c>
      <c r="D444" s="1149"/>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31" t="s">
        <v>319</v>
      </c>
      <c r="AG444" s="1731"/>
      <c r="AH444" s="1731"/>
      <c r="AI444" s="1731"/>
      <c r="AJ444" s="1731"/>
      <c r="AK444" s="1731"/>
      <c r="AL444" s="1756"/>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45" t="s">
        <v>1783</v>
      </c>
      <c r="G447" s="1745"/>
      <c r="H447" s="1745"/>
      <c r="I447" s="1745"/>
      <c r="J447" s="1745"/>
      <c r="K447" s="1745"/>
      <c r="L447" s="1745"/>
      <c r="M447" s="1745"/>
      <c r="N447" s="1745"/>
      <c r="O447" s="1745"/>
      <c r="P447" s="1745"/>
      <c r="Q447" s="1745"/>
      <c r="R447" s="1745"/>
      <c r="S447" s="1745"/>
      <c r="T447" s="1745"/>
      <c r="U447" s="1745"/>
      <c r="V447" s="1745"/>
      <c r="W447" s="1745"/>
      <c r="X447" s="1745"/>
      <c r="Y447" s="1745"/>
      <c r="Z447" s="1745"/>
      <c r="AA447" s="1745"/>
      <c r="AB447" s="1745"/>
      <c r="AC447" s="1745"/>
      <c r="AD447" s="1745"/>
      <c r="AE447" s="1745"/>
      <c r="AF447" s="694"/>
      <c r="AG447" s="694"/>
      <c r="AH447" s="694"/>
      <c r="AI447" s="694"/>
      <c r="AJ447" s="694"/>
      <c r="AK447" s="694"/>
      <c r="AL447" s="718"/>
      <c r="AM447"/>
      <c r="AN447" s="279"/>
    </row>
    <row r="448" spans="1:60" s="4" customFormat="1" ht="12.75" customHeight="1">
      <c r="A448" s="5"/>
      <c r="B448" s="73"/>
      <c r="C448" s="720"/>
      <c r="D448" s="1"/>
      <c r="E448" s="223"/>
      <c r="F448" s="1698"/>
      <c r="G448" s="1698"/>
      <c r="H448" s="1698"/>
      <c r="I448" s="1698"/>
      <c r="J448" s="1698"/>
      <c r="K448" s="1698"/>
      <c r="L448" s="1698"/>
      <c r="M448" s="1698"/>
      <c r="N448" s="1698"/>
      <c r="O448" s="1698"/>
      <c r="P448" s="1698"/>
      <c r="Q448" s="1698"/>
      <c r="R448" s="1698"/>
      <c r="S448" s="1698"/>
      <c r="T448" s="1698"/>
      <c r="U448" s="1698"/>
      <c r="V448" s="1698"/>
      <c r="W448" s="1698"/>
      <c r="X448" s="1698"/>
      <c r="Y448" s="1698"/>
      <c r="Z448" s="1698"/>
      <c r="AA448" s="1698"/>
      <c r="AB448" s="1698"/>
      <c r="AC448" s="1698"/>
      <c r="AD448" s="1698"/>
      <c r="AE448" s="1698"/>
      <c r="AF448" s="18"/>
      <c r="AG448" s="18"/>
      <c r="AH448" s="18"/>
      <c r="AI448" s="18"/>
      <c r="AJ448" s="18"/>
      <c r="AK448" s="18"/>
      <c r="AL448" s="778"/>
      <c r="AM448"/>
      <c r="AN448" s="279"/>
    </row>
    <row r="449" spans="1:49" s="4" customFormat="1" ht="12.75" customHeight="1">
      <c r="A449" s="5"/>
      <c r="B449" s="73"/>
      <c r="C449" s="720"/>
      <c r="D449" s="1"/>
      <c r="E449" s="223"/>
      <c r="F449" s="1698"/>
      <c r="G449" s="1698"/>
      <c r="H449" s="1698"/>
      <c r="I449" s="1698"/>
      <c r="J449" s="1698"/>
      <c r="K449" s="1698"/>
      <c r="L449" s="1698"/>
      <c r="M449" s="1698"/>
      <c r="N449" s="1698"/>
      <c r="O449" s="1698"/>
      <c r="P449" s="1698"/>
      <c r="Q449" s="1698"/>
      <c r="R449" s="1698"/>
      <c r="S449" s="1698"/>
      <c r="T449" s="1698"/>
      <c r="U449" s="1698"/>
      <c r="V449" s="1698"/>
      <c r="W449" s="1698"/>
      <c r="X449" s="1698"/>
      <c r="Y449" s="1698"/>
      <c r="Z449" s="1698"/>
      <c r="AA449" s="1698"/>
      <c r="AB449" s="1698"/>
      <c r="AC449" s="1698"/>
      <c r="AD449" s="1698"/>
      <c r="AE449" s="1698"/>
      <c r="AF449" s="18"/>
      <c r="AG449" s="18"/>
      <c r="AH449" s="18"/>
      <c r="AI449" s="18"/>
      <c r="AJ449" s="18"/>
      <c r="AK449" s="18"/>
      <c r="AL449" s="778"/>
      <c r="AM449"/>
      <c r="AN449" s="279"/>
    </row>
    <row r="450" spans="1:49" s="4" customFormat="1" ht="12.75" customHeight="1">
      <c r="A450" s="5"/>
      <c r="B450" s="73"/>
      <c r="C450" s="720"/>
      <c r="D450" s="1"/>
      <c r="E450" s="223"/>
      <c r="F450" s="1698"/>
      <c r="G450" s="1698"/>
      <c r="H450" s="1698"/>
      <c r="I450" s="1698"/>
      <c r="J450" s="1698"/>
      <c r="K450" s="1698"/>
      <c r="L450" s="1698"/>
      <c r="M450" s="1698"/>
      <c r="N450" s="1698"/>
      <c r="O450" s="1698"/>
      <c r="P450" s="1698"/>
      <c r="Q450" s="1698"/>
      <c r="R450" s="1698"/>
      <c r="S450" s="1698"/>
      <c r="T450" s="1698"/>
      <c r="U450" s="1698"/>
      <c r="V450" s="1698"/>
      <c r="W450" s="1698"/>
      <c r="X450" s="1698"/>
      <c r="Y450" s="1698"/>
      <c r="Z450" s="1698"/>
      <c r="AA450" s="1698"/>
      <c r="AB450" s="1698"/>
      <c r="AC450" s="1698"/>
      <c r="AD450" s="1698"/>
      <c r="AE450" s="1698"/>
      <c r="AL450" s="702"/>
      <c r="AM450"/>
      <c r="AN450" s="279"/>
    </row>
    <row r="451" spans="1:49" s="4" customFormat="1" ht="12.75" customHeight="1">
      <c r="A451" s="5"/>
      <c r="B451" s="73"/>
      <c r="C451" s="1744" t="s">
        <v>124</v>
      </c>
      <c r="D451" s="1149"/>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31" t="s">
        <v>319</v>
      </c>
      <c r="AG451" s="1731"/>
      <c r="AH451" s="1731"/>
      <c r="AI451" s="1731"/>
      <c r="AJ451" s="1731"/>
      <c r="AK451" s="1731"/>
      <c r="AL451" s="1756"/>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49" t="s">
        <v>124</v>
      </c>
      <c r="D455" s="1750"/>
      <c r="E455" s="695" t="s">
        <v>967</v>
      </c>
      <c r="F455" s="1745" t="s">
        <v>969</v>
      </c>
      <c r="G455" s="1745"/>
      <c r="H455" s="1745"/>
      <c r="I455" s="1745"/>
      <c r="J455" s="1745"/>
      <c r="K455" s="1745"/>
      <c r="L455" s="1745"/>
      <c r="M455" s="1745"/>
      <c r="N455" s="1745"/>
      <c r="O455" s="1745"/>
      <c r="P455" s="1745"/>
      <c r="Q455" s="1745"/>
      <c r="R455" s="1745"/>
      <c r="S455" s="1745"/>
      <c r="T455" s="1745"/>
      <c r="U455" s="1745"/>
      <c r="V455" s="1745"/>
      <c r="W455" s="1745"/>
      <c r="X455" s="1745"/>
      <c r="Y455" s="1745"/>
      <c r="Z455" s="1745"/>
      <c r="AA455" s="1745"/>
      <c r="AB455" s="1745"/>
      <c r="AC455" s="1745"/>
      <c r="AD455" s="1745"/>
      <c r="AE455" s="1745"/>
      <c r="AF455" s="1752" t="s">
        <v>319</v>
      </c>
      <c r="AG455" s="1752"/>
      <c r="AH455" s="1752"/>
      <c r="AI455" s="1752"/>
      <c r="AJ455" s="1752"/>
      <c r="AK455" s="1752"/>
      <c r="AL455" s="1753"/>
      <c r="AM455"/>
      <c r="AN455" s="671"/>
      <c r="AQ455" s="164"/>
    </row>
    <row r="456" spans="1:49" s="4" customFormat="1" ht="12.75" customHeight="1">
      <c r="A456" s="5"/>
      <c r="B456" s="73"/>
      <c r="C456" s="720"/>
      <c r="D456" s="1"/>
      <c r="E456" s="223"/>
      <c r="F456" s="1698"/>
      <c r="G456" s="1698"/>
      <c r="H456" s="1698"/>
      <c r="I456" s="1698"/>
      <c r="J456" s="1698"/>
      <c r="K456" s="1698"/>
      <c r="L456" s="1698"/>
      <c r="M456" s="1698"/>
      <c r="N456" s="1698"/>
      <c r="O456" s="1698"/>
      <c r="P456" s="1698"/>
      <c r="Q456" s="1698"/>
      <c r="R456" s="1698"/>
      <c r="S456" s="1698"/>
      <c r="T456" s="1698"/>
      <c r="U456" s="1698"/>
      <c r="V456" s="1698"/>
      <c r="W456" s="1698"/>
      <c r="X456" s="1698"/>
      <c r="Y456" s="1698"/>
      <c r="Z456" s="1698"/>
      <c r="AA456" s="1698"/>
      <c r="AB456" s="1698"/>
      <c r="AC456" s="1698"/>
      <c r="AD456" s="1698"/>
      <c r="AE456" s="1698"/>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46"/>
      <c r="G457" s="1746"/>
      <c r="H457" s="1746"/>
      <c r="I457" s="1746"/>
      <c r="J457" s="1746"/>
      <c r="K457" s="1746"/>
      <c r="L457" s="1746"/>
      <c r="M457" s="1746"/>
      <c r="N457" s="1746"/>
      <c r="O457" s="1746"/>
      <c r="P457" s="1746"/>
      <c r="Q457" s="1746"/>
      <c r="R457" s="1746"/>
      <c r="S457" s="1746"/>
      <c r="T457" s="1746"/>
      <c r="U457" s="1746"/>
      <c r="V457" s="1746"/>
      <c r="W457" s="1746"/>
      <c r="X457" s="1746"/>
      <c r="Y457" s="1746"/>
      <c r="Z457" s="1746"/>
      <c r="AA457" s="1746"/>
      <c r="AB457" s="1746"/>
      <c r="AC457" s="1746"/>
      <c r="AD457" s="1746"/>
      <c r="AE457" s="1746"/>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49" t="s">
        <v>124</v>
      </c>
      <c r="D459" s="1750"/>
      <c r="E459" s="695" t="s">
        <v>968</v>
      </c>
      <c r="F459" s="1745" t="s">
        <v>1820</v>
      </c>
      <c r="G459" s="1745"/>
      <c r="H459" s="1745"/>
      <c r="I459" s="1745"/>
      <c r="J459" s="1745"/>
      <c r="K459" s="1745"/>
      <c r="L459" s="1745"/>
      <c r="M459" s="1745"/>
      <c r="N459" s="1745"/>
      <c r="O459" s="1745"/>
      <c r="P459" s="1745"/>
      <c r="Q459" s="1745"/>
      <c r="R459" s="1745"/>
      <c r="S459" s="1745"/>
      <c r="T459" s="1745"/>
      <c r="U459" s="1745"/>
      <c r="V459" s="1745"/>
      <c r="W459" s="1745"/>
      <c r="X459" s="1745"/>
      <c r="Y459" s="1745"/>
      <c r="Z459" s="1745"/>
      <c r="AA459" s="1745"/>
      <c r="AB459" s="1745"/>
      <c r="AC459" s="1745"/>
      <c r="AD459" s="1745"/>
      <c r="AE459" s="1745"/>
      <c r="AF459" s="1752" t="s">
        <v>319</v>
      </c>
      <c r="AG459" s="1752"/>
      <c r="AH459" s="1752"/>
      <c r="AI459" s="1752"/>
      <c r="AJ459" s="1752"/>
      <c r="AK459" s="1752"/>
      <c r="AL459" s="1753"/>
      <c r="AM459"/>
      <c r="AN459" s="667"/>
      <c r="AO459" s="4" t="s">
        <v>1334</v>
      </c>
      <c r="AP459" s="4">
        <v>5</v>
      </c>
      <c r="AQ459" s="5"/>
    </row>
    <row r="460" spans="1:49" s="4" customFormat="1" ht="12.75" customHeight="1">
      <c r="A460" s="5"/>
      <c r="B460" s="21"/>
      <c r="C460" s="701"/>
      <c r="D460" s="21"/>
      <c r="E460" s="192"/>
      <c r="F460" s="1698"/>
      <c r="G460" s="1698"/>
      <c r="H460" s="1698"/>
      <c r="I460" s="1698"/>
      <c r="J460" s="1698"/>
      <c r="K460" s="1698"/>
      <c r="L460" s="1698"/>
      <c r="M460" s="1698"/>
      <c r="N460" s="1698"/>
      <c r="O460" s="1698"/>
      <c r="P460" s="1698"/>
      <c r="Q460" s="1698"/>
      <c r="R460" s="1698"/>
      <c r="S460" s="1698"/>
      <c r="T460" s="1698"/>
      <c r="U460" s="1698"/>
      <c r="V460" s="1698"/>
      <c r="W460" s="1698"/>
      <c r="X460" s="1698"/>
      <c r="Y460" s="1698"/>
      <c r="Z460" s="1698"/>
      <c r="AA460" s="1698"/>
      <c r="AB460" s="1698"/>
      <c r="AC460" s="1698"/>
      <c r="AD460" s="1698"/>
      <c r="AE460" s="1698"/>
      <c r="AF460" s="3"/>
      <c r="AG460" s="5"/>
      <c r="AL460" s="702"/>
      <c r="AM460"/>
      <c r="AN460" s="667"/>
      <c r="AO460" s="4" t="s">
        <v>1330</v>
      </c>
      <c r="AP460" s="4">
        <v>5</v>
      </c>
    </row>
    <row r="461" spans="1:49" s="4" customFormat="1" ht="12.75" customHeight="1">
      <c r="A461" s="5"/>
      <c r="B461" s="21"/>
      <c r="C461" s="701"/>
      <c r="D461" s="21"/>
      <c r="E461" s="192"/>
      <c r="F461" s="1698"/>
      <c r="G461" s="1698"/>
      <c r="H461" s="1698"/>
      <c r="I461" s="1698"/>
      <c r="J461" s="1698"/>
      <c r="K461" s="1698"/>
      <c r="L461" s="1698"/>
      <c r="M461" s="1698"/>
      <c r="N461" s="1698"/>
      <c r="O461" s="1698"/>
      <c r="P461" s="1698"/>
      <c r="Q461" s="1698"/>
      <c r="R461" s="1698"/>
      <c r="S461" s="1698"/>
      <c r="T461" s="1698"/>
      <c r="U461" s="1698"/>
      <c r="V461" s="1698"/>
      <c r="W461" s="1698"/>
      <c r="X461" s="1698"/>
      <c r="Y461" s="1698"/>
      <c r="Z461" s="1698"/>
      <c r="AA461" s="1698"/>
      <c r="AB461" s="1698"/>
      <c r="AC461" s="1698"/>
      <c r="AD461" s="1698"/>
      <c r="AE461" s="1698"/>
      <c r="AF461" s="3"/>
      <c r="AG461" s="5"/>
      <c r="AL461" s="702"/>
      <c r="AM461"/>
      <c r="AN461" s="667"/>
      <c r="AO461" s="4" t="s">
        <v>1331</v>
      </c>
      <c r="AP461" s="4">
        <v>5</v>
      </c>
    </row>
    <row r="462" spans="1:49" s="4" customFormat="1" ht="4.5" customHeight="1">
      <c r="A462" s="5"/>
      <c r="B462" s="73"/>
      <c r="C462" s="697"/>
      <c r="D462" s="698"/>
      <c r="E462" s="699"/>
      <c r="F462" s="1746"/>
      <c r="G462" s="1746"/>
      <c r="H462" s="1746"/>
      <c r="I462" s="1746"/>
      <c r="J462" s="1746"/>
      <c r="K462" s="1746"/>
      <c r="L462" s="1746"/>
      <c r="M462" s="1746"/>
      <c r="N462" s="1746"/>
      <c r="O462" s="1746"/>
      <c r="P462" s="1746"/>
      <c r="Q462" s="1746"/>
      <c r="R462" s="1746"/>
      <c r="S462" s="1746"/>
      <c r="T462" s="1746"/>
      <c r="U462" s="1746"/>
      <c r="V462" s="1746"/>
      <c r="W462" s="1746"/>
      <c r="X462" s="1746"/>
      <c r="Y462" s="1746"/>
      <c r="Z462" s="1746"/>
      <c r="AA462" s="1746"/>
      <c r="AB462" s="1746"/>
      <c r="AC462" s="1746"/>
      <c r="AD462" s="1746"/>
      <c r="AE462" s="1746"/>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45" t="s">
        <v>1821</v>
      </c>
      <c r="G464" s="1745"/>
      <c r="H464" s="1745"/>
      <c r="I464" s="1745"/>
      <c r="J464" s="1745"/>
      <c r="K464" s="1745"/>
      <c r="L464" s="1745"/>
      <c r="M464" s="1745"/>
      <c r="N464" s="1745"/>
      <c r="O464" s="1745"/>
      <c r="P464" s="1745"/>
      <c r="Q464" s="1745"/>
      <c r="R464" s="1745"/>
      <c r="S464" s="1745"/>
      <c r="T464" s="1745"/>
      <c r="U464" s="1745"/>
      <c r="V464" s="1745"/>
      <c r="W464" s="1745"/>
      <c r="X464" s="1745"/>
      <c r="Y464" s="1745"/>
      <c r="Z464" s="1745"/>
      <c r="AA464" s="1745"/>
      <c r="AB464" s="1745"/>
      <c r="AC464" s="1745"/>
      <c r="AD464" s="1745"/>
      <c r="AE464" s="1745"/>
      <c r="AF464" s="1745"/>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98"/>
      <c r="G465" s="1698"/>
      <c r="H465" s="1698"/>
      <c r="I465" s="1698"/>
      <c r="J465" s="1698"/>
      <c r="K465" s="1698"/>
      <c r="L465" s="1698"/>
      <c r="M465" s="1698"/>
      <c r="N465" s="1698"/>
      <c r="O465" s="1698"/>
      <c r="P465" s="1698"/>
      <c r="Q465" s="1698"/>
      <c r="R465" s="1698"/>
      <c r="S465" s="1698"/>
      <c r="T465" s="1698"/>
      <c r="U465" s="1698"/>
      <c r="V465" s="1698"/>
      <c r="W465" s="1698"/>
      <c r="X465" s="1698"/>
      <c r="Y465" s="1698"/>
      <c r="Z465" s="1698"/>
      <c r="AA465" s="1698"/>
      <c r="AB465" s="1698"/>
      <c r="AC465" s="1698"/>
      <c r="AD465" s="1698"/>
      <c r="AE465" s="1698"/>
      <c r="AF465" s="1698"/>
      <c r="AL465" s="702"/>
      <c r="AM465"/>
      <c r="AN465" s="279"/>
      <c r="AS465" s="343"/>
      <c r="AW465" s="343" t="s">
        <v>975</v>
      </c>
      <c r="BA465" s="343" t="s">
        <v>976</v>
      </c>
    </row>
    <row r="466" spans="1:54" s="4" customFormat="1" ht="12.75" customHeight="1">
      <c r="A466" s="5"/>
      <c r="B466" s="21"/>
      <c r="C466" s="704"/>
      <c r="F466" s="1698"/>
      <c r="G466" s="1698"/>
      <c r="H466" s="1698"/>
      <c r="I466" s="1698"/>
      <c r="J466" s="1698"/>
      <c r="K466" s="1698"/>
      <c r="L466" s="1698"/>
      <c r="M466" s="1698"/>
      <c r="N466" s="1698"/>
      <c r="O466" s="1698"/>
      <c r="P466" s="1698"/>
      <c r="Q466" s="1698"/>
      <c r="R466" s="1698"/>
      <c r="S466" s="1698"/>
      <c r="T466" s="1698"/>
      <c r="U466" s="1698"/>
      <c r="V466" s="1698"/>
      <c r="W466" s="1698"/>
      <c r="X466" s="1698"/>
      <c r="Y466" s="1698"/>
      <c r="Z466" s="1698"/>
      <c r="AA466" s="1698"/>
      <c r="AB466" s="1698"/>
      <c r="AC466" s="1698"/>
      <c r="AD466" s="1698"/>
      <c r="AE466" s="1698"/>
      <c r="AF466" s="1698"/>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98"/>
      <c r="G467" s="1698"/>
      <c r="H467" s="1698"/>
      <c r="I467" s="1698"/>
      <c r="J467" s="1698"/>
      <c r="K467" s="1698"/>
      <c r="L467" s="1698"/>
      <c r="M467" s="1698"/>
      <c r="N467" s="1698"/>
      <c r="O467" s="1698"/>
      <c r="P467" s="1698"/>
      <c r="Q467" s="1698"/>
      <c r="R467" s="1698"/>
      <c r="S467" s="1698"/>
      <c r="T467" s="1698"/>
      <c r="U467" s="1698"/>
      <c r="V467" s="1698"/>
      <c r="W467" s="1698"/>
      <c r="X467" s="1698"/>
      <c r="Y467" s="1698"/>
      <c r="Z467" s="1698"/>
      <c r="AA467" s="1698"/>
      <c r="AB467" s="1698"/>
      <c r="AC467" s="1698"/>
      <c r="AD467" s="1698"/>
      <c r="AE467" s="1698"/>
      <c r="AF467" s="1698"/>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44" t="s">
        <v>124</v>
      </c>
      <c r="D468" s="1149"/>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206" t="s">
        <v>319</v>
      </c>
      <c r="AG468" s="1206"/>
      <c r="AH468" s="1206"/>
      <c r="AI468" s="1206"/>
      <c r="AJ468" s="1206"/>
      <c r="AK468" s="1206"/>
      <c r="AL468" s="1757"/>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308">
        <f>IF(AS357=0,AS355,AS357)</f>
        <v>10</v>
      </c>
      <c r="AL474" s="1309"/>
      <c r="AM474" s="1310"/>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206" t="s">
        <v>1257</v>
      </c>
      <c r="AF477" s="1206"/>
      <c r="AG477" s="1206"/>
      <c r="AH477" s="1206"/>
      <c r="AI477" s="1206"/>
      <c r="AJ477" s="1206"/>
      <c r="AK477" s="1206"/>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47" t="s">
        <v>124</v>
      </c>
      <c r="D483" s="1748"/>
      <c r="E483" s="746" t="s">
        <v>195</v>
      </c>
      <c r="F483" s="1732" t="s">
        <v>972</v>
      </c>
      <c r="G483" s="1732"/>
      <c r="H483" s="1732"/>
      <c r="I483" s="1732"/>
      <c r="J483" s="1732"/>
      <c r="K483" s="1732"/>
      <c r="L483" s="1732"/>
      <c r="M483" s="1732"/>
      <c r="N483" s="1732"/>
      <c r="O483" s="1732"/>
      <c r="P483" s="1732"/>
      <c r="Q483" s="1732"/>
      <c r="R483" s="1732"/>
      <c r="S483" s="1732"/>
      <c r="T483" s="1732"/>
      <c r="U483" s="1732"/>
      <c r="V483" s="1732"/>
      <c r="W483" s="1732"/>
      <c r="X483" s="1732"/>
      <c r="Y483" s="1732"/>
      <c r="Z483" s="1732"/>
      <c r="AA483" s="1732"/>
      <c r="AB483" s="1732"/>
      <c r="AC483" s="1732"/>
      <c r="AD483" s="1732"/>
      <c r="AE483" s="1732"/>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733"/>
      <c r="G484" s="1733"/>
      <c r="H484" s="1733"/>
      <c r="I484" s="1733"/>
      <c r="J484" s="1733"/>
      <c r="K484" s="1733"/>
      <c r="L484" s="1733"/>
      <c r="M484" s="1733"/>
      <c r="N484" s="1733"/>
      <c r="O484" s="1733"/>
      <c r="P484" s="1733"/>
      <c r="Q484" s="1733"/>
      <c r="R484" s="1733"/>
      <c r="S484" s="1733"/>
      <c r="T484" s="1733"/>
      <c r="U484" s="1733"/>
      <c r="V484" s="1733"/>
      <c r="W484" s="1733"/>
      <c r="X484" s="1733"/>
      <c r="Y484" s="1733"/>
      <c r="Z484" s="1733"/>
      <c r="AA484" s="1733"/>
      <c r="AB484" s="1733"/>
      <c r="AC484" s="1733"/>
      <c r="AD484" s="1733"/>
      <c r="AE484" s="1733"/>
      <c r="AG484" s="19"/>
      <c r="AH484" s="19"/>
      <c r="AI484" s="19"/>
      <c r="AJ484" s="19"/>
      <c r="AK484" s="702"/>
      <c r="AN484" s="279"/>
      <c r="AO484" s="4" t="s">
        <v>1333</v>
      </c>
      <c r="AP484" s="4">
        <v>1</v>
      </c>
    </row>
    <row r="485" spans="1:50" s="4" customFormat="1" ht="12.75" hidden="1" customHeight="1">
      <c r="C485" s="724"/>
      <c r="D485" s="711"/>
      <c r="E485" s="725"/>
      <c r="F485" s="1855" t="s">
        <v>124</v>
      </c>
      <c r="G485" s="1855"/>
      <c r="H485" s="1855"/>
      <c r="I485" s="1855"/>
      <c r="J485" s="1855"/>
      <c r="K485" s="1855"/>
      <c r="L485" s="1855"/>
      <c r="M485" s="1855"/>
      <c r="N485" s="1855"/>
      <c r="O485" s="1855"/>
      <c r="P485" s="1855"/>
      <c r="Q485" s="1855"/>
      <c r="R485" s="1855"/>
      <c r="S485" s="1855"/>
      <c r="T485" s="1855"/>
      <c r="U485" s="1855"/>
      <c r="V485" s="1855"/>
      <c r="W485" s="1855"/>
      <c r="X485" s="1855"/>
      <c r="Y485" s="1855"/>
      <c r="Z485" s="1855"/>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49" t="s">
        <v>108</v>
      </c>
      <c r="D487" s="1750"/>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730" t="s">
        <v>124</v>
      </c>
      <c r="W490" s="1730"/>
      <c r="X490" s="1730"/>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730" t="s">
        <v>124</v>
      </c>
      <c r="W492" s="1730"/>
      <c r="X492" s="1730"/>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730" t="s">
        <v>124</v>
      </c>
      <c r="W497" s="1730"/>
      <c r="X497" s="1730"/>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608"/>
      <c r="E500" s="1608"/>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730" t="s">
        <v>124</v>
      </c>
      <c r="W501" s="1730"/>
      <c r="X501" s="1730"/>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730" t="s">
        <v>124</v>
      </c>
      <c r="W503" s="1730"/>
      <c r="X503" s="1730"/>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96" t="s">
        <v>657</v>
      </c>
      <c r="AV504" s="1797"/>
      <c r="AW504" s="1797"/>
      <c r="AX504" s="1797"/>
      <c r="AY504" s="1797"/>
      <c r="AZ504" s="1797"/>
      <c r="BA504" s="1797"/>
      <c r="BB504" s="20"/>
      <c r="BC504" s="20"/>
      <c r="BE504" s="4"/>
      <c r="BF504" s="4"/>
      <c r="BG504" s="4"/>
      <c r="BH504" s="4"/>
      <c r="BI504" s="4"/>
      <c r="BJ504" s="1794" t="s">
        <v>30</v>
      </c>
      <c r="BK504" s="1795"/>
      <c r="BL504" s="1795"/>
      <c r="BM504" s="1795"/>
      <c r="BN504" s="1795"/>
      <c r="BO504" s="1795"/>
      <c r="BP504" s="1795"/>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96"/>
      <c r="AV505" s="1797"/>
      <c r="AW505" s="1797"/>
      <c r="AX505" s="1797"/>
      <c r="AY505" s="1797"/>
      <c r="AZ505" s="1797"/>
      <c r="BA505" s="1797"/>
      <c r="BB505" s="20"/>
      <c r="BC505" s="20"/>
      <c r="BE505" s="4"/>
      <c r="BF505" s="4"/>
      <c r="BG505" s="4"/>
      <c r="BH505" s="4"/>
      <c r="BI505" s="4"/>
      <c r="BJ505" s="1794"/>
      <c r="BK505" s="1795"/>
      <c r="BL505" s="1795"/>
      <c r="BM505" s="1795"/>
      <c r="BN505" s="1795"/>
      <c r="BO505" s="1795"/>
      <c r="BP505" s="1795"/>
      <c r="BQ505" s="20"/>
      <c r="BR505" s="4"/>
    </row>
    <row r="506" spans="1:147" customFormat="1" ht="12.75" hidden="1" customHeight="1">
      <c r="A506" s="118"/>
      <c r="B506" s="4"/>
      <c r="C506" s="1747" t="s">
        <v>124</v>
      </c>
      <c r="D506" s="1748"/>
      <c r="E506" s="739" t="s">
        <v>195</v>
      </c>
      <c r="F506" s="1732" t="s">
        <v>972</v>
      </c>
      <c r="G506" s="1732"/>
      <c r="H506" s="1732"/>
      <c r="I506" s="1732"/>
      <c r="J506" s="1732"/>
      <c r="K506" s="1732"/>
      <c r="L506" s="1732"/>
      <c r="M506" s="1732"/>
      <c r="N506" s="1732"/>
      <c r="O506" s="1732"/>
      <c r="P506" s="1732"/>
      <c r="Q506" s="1732"/>
      <c r="R506" s="1732"/>
      <c r="S506" s="1732"/>
      <c r="T506" s="1732"/>
      <c r="U506" s="1732"/>
      <c r="V506" s="1732"/>
      <c r="W506" s="1732"/>
      <c r="X506" s="1732"/>
      <c r="Y506" s="1732"/>
      <c r="Z506" s="1732"/>
      <c r="AA506" s="1732"/>
      <c r="AB506" s="1732"/>
      <c r="AC506" s="1732"/>
      <c r="AD506" s="1732"/>
      <c r="AE506" s="1732"/>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33"/>
      <c r="G507" s="1733"/>
      <c r="H507" s="1733"/>
      <c r="I507" s="1733"/>
      <c r="J507" s="1733"/>
      <c r="K507" s="1733"/>
      <c r="L507" s="1733"/>
      <c r="M507" s="1733"/>
      <c r="N507" s="1733"/>
      <c r="O507" s="1733"/>
      <c r="P507" s="1733"/>
      <c r="Q507" s="1733"/>
      <c r="R507" s="1733"/>
      <c r="S507" s="1733"/>
      <c r="T507" s="1733"/>
      <c r="U507" s="1733"/>
      <c r="V507" s="1733"/>
      <c r="W507" s="1733"/>
      <c r="X507" s="1733"/>
      <c r="Y507" s="1733"/>
      <c r="Z507" s="1733"/>
      <c r="AA507" s="1733"/>
      <c r="AB507" s="1733"/>
      <c r="AC507" s="1733"/>
      <c r="AD507" s="1733"/>
      <c r="AE507" s="1733"/>
      <c r="AF507" s="4"/>
      <c r="AG507" s="19"/>
      <c r="AH507" s="19"/>
      <c r="AI507" s="19"/>
      <c r="AJ507" s="19"/>
      <c r="AK507" s="702"/>
      <c r="AL507" s="4"/>
      <c r="AM507" s="4"/>
      <c r="AN507" s="666"/>
      <c r="AO507" s="38"/>
      <c r="AP507" s="1545" t="s">
        <v>1496</v>
      </c>
      <c r="AQ507" s="1546"/>
      <c r="AR507" s="1547"/>
      <c r="AS507" s="621">
        <v>80</v>
      </c>
      <c r="AT507" s="4">
        <v>0</v>
      </c>
      <c r="AU507" s="158">
        <v>10</v>
      </c>
      <c r="AV507" s="158">
        <v>25</v>
      </c>
      <c r="AW507" s="158">
        <v>37.5</v>
      </c>
      <c r="AX507" s="158">
        <v>35</v>
      </c>
      <c r="AY507" s="158">
        <v>37.5</v>
      </c>
      <c r="AZ507" s="158">
        <v>50</v>
      </c>
      <c r="BA507" s="158">
        <v>50</v>
      </c>
      <c r="BB507" s="21"/>
      <c r="BC507" s="21"/>
      <c r="BE507" s="1545" t="s">
        <v>1496</v>
      </c>
      <c r="BF507" s="1546"/>
      <c r="BG507" s="1547"/>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65" t="s">
        <v>124</v>
      </c>
      <c r="G508" s="1765"/>
      <c r="H508" s="1765"/>
      <c r="I508" s="1765"/>
      <c r="J508" s="1765"/>
      <c r="K508" s="1765"/>
      <c r="L508" s="1765"/>
      <c r="M508" s="1765"/>
      <c r="N508" s="1765"/>
      <c r="O508" s="1765"/>
      <c r="P508" s="1765"/>
      <c r="Q508" s="1765"/>
      <c r="R508" s="1765"/>
      <c r="S508" s="1765"/>
      <c r="T508" s="1765"/>
      <c r="U508" s="1765"/>
      <c r="V508" s="1765"/>
      <c r="W508" s="1765"/>
      <c r="X508" s="1765"/>
      <c r="Y508" s="1765"/>
      <c r="Z508" s="1765"/>
      <c r="AA508" s="726"/>
      <c r="AB508" s="727"/>
      <c r="AC508" s="727"/>
      <c r="AD508" s="711"/>
      <c r="AE508" s="711"/>
      <c r="AF508" s="711"/>
      <c r="AG508" s="728">
        <f>IF($C$506="Yes",(VLOOKUP($F$508,$AO$476:$AP$484,2,FALSE)),0)</f>
        <v>0</v>
      </c>
      <c r="AH508" s="729" t="s">
        <v>974</v>
      </c>
      <c r="AI508" s="728"/>
      <c r="AJ508" s="727"/>
      <c r="AK508" s="712"/>
      <c r="AL508" s="4"/>
      <c r="AM508" s="4"/>
      <c r="AN508" s="666"/>
      <c r="AO508" s="38"/>
      <c r="AP508" s="1548"/>
      <c r="AQ508" s="1549"/>
      <c r="AR508" s="1550"/>
      <c r="AS508" s="621">
        <v>75</v>
      </c>
      <c r="AT508" s="4">
        <v>0</v>
      </c>
      <c r="AU508" s="158">
        <v>10</v>
      </c>
      <c r="AV508" s="158">
        <v>25</v>
      </c>
      <c r="AW508" s="158">
        <v>37.5</v>
      </c>
      <c r="AX508" s="158">
        <v>35</v>
      </c>
      <c r="AY508" s="158">
        <v>37.5</v>
      </c>
      <c r="AZ508" s="158">
        <v>50</v>
      </c>
      <c r="BA508" s="158">
        <v>50</v>
      </c>
      <c r="BB508" s="21"/>
      <c r="BC508" s="21"/>
      <c r="BE508" s="1548"/>
      <c r="BF508" s="1549"/>
      <c r="BG508" s="1550"/>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48"/>
      <c r="AQ509" s="1549"/>
      <c r="AR509" s="1550"/>
      <c r="AS509" s="621">
        <v>70</v>
      </c>
      <c r="AT509" s="4">
        <v>0</v>
      </c>
      <c r="AU509" s="158">
        <v>10</v>
      </c>
      <c r="AV509" s="158">
        <v>25</v>
      </c>
      <c r="AW509" s="158">
        <v>37.5</v>
      </c>
      <c r="AX509" s="158">
        <v>35</v>
      </c>
      <c r="AY509" s="158">
        <v>37.5</v>
      </c>
      <c r="AZ509" s="158">
        <v>50</v>
      </c>
      <c r="BA509" s="158">
        <v>50</v>
      </c>
      <c r="BB509" s="21"/>
      <c r="BC509" s="21"/>
      <c r="BE509" s="1548"/>
      <c r="BF509" s="1549"/>
      <c r="BG509" s="1550"/>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47" t="s">
        <v>124</v>
      </c>
      <c r="D510" s="1748"/>
      <c r="E510" s="739" t="s">
        <v>302</v>
      </c>
      <c r="F510" s="1760" t="s">
        <v>1158</v>
      </c>
      <c r="G510" s="1760"/>
      <c r="H510" s="1760"/>
      <c r="I510" s="1760"/>
      <c r="J510" s="1760"/>
      <c r="K510" s="1760"/>
      <c r="L510" s="1760"/>
      <c r="M510" s="1760"/>
      <c r="N510" s="1760"/>
      <c r="O510" s="1760"/>
      <c r="P510" s="1760"/>
      <c r="Q510" s="1760"/>
      <c r="R510" s="1760"/>
      <c r="S510" s="1760"/>
      <c r="T510" s="1760"/>
      <c r="U510" s="1760"/>
      <c r="V510" s="1760"/>
      <c r="W510" s="1760"/>
      <c r="X510" s="1760"/>
      <c r="Y510" s="1760"/>
      <c r="Z510" s="1760"/>
      <c r="AA510" s="1760"/>
      <c r="AB510" s="1760"/>
      <c r="AC510" s="1760"/>
      <c r="AD510" s="1760"/>
      <c r="AE510" s="1760"/>
      <c r="AF510" s="694"/>
      <c r="AG510" s="731"/>
      <c r="AH510" s="731"/>
      <c r="AI510" s="731"/>
      <c r="AJ510" s="731"/>
      <c r="AK510" s="718"/>
      <c r="AL510" s="4"/>
      <c r="AM510" s="4"/>
      <c r="AN510" s="666"/>
      <c r="AO510" s="38"/>
      <c r="AP510" s="1548"/>
      <c r="AQ510" s="1549"/>
      <c r="AR510" s="1550"/>
      <c r="AS510" s="621">
        <v>65</v>
      </c>
      <c r="AT510" s="4">
        <v>0</v>
      </c>
      <c r="AU510" s="158">
        <v>10</v>
      </c>
      <c r="AV510" s="158">
        <v>25</v>
      </c>
      <c r="AW510" s="158">
        <v>37.5</v>
      </c>
      <c r="AX510" s="158">
        <v>35</v>
      </c>
      <c r="AY510" s="158">
        <v>37.5</v>
      </c>
      <c r="AZ510" s="158">
        <v>50</v>
      </c>
      <c r="BA510" s="158">
        <v>50</v>
      </c>
      <c r="BB510" s="21"/>
      <c r="BC510" s="21"/>
      <c r="BE510" s="1548"/>
      <c r="BF510" s="1549"/>
      <c r="BG510" s="1550"/>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61"/>
      <c r="G511" s="1761"/>
      <c r="H511" s="1761"/>
      <c r="I511" s="1761"/>
      <c r="J511" s="1761"/>
      <c r="K511" s="1761"/>
      <c r="L511" s="1761"/>
      <c r="M511" s="1761"/>
      <c r="N511" s="1761"/>
      <c r="O511" s="1761"/>
      <c r="P511" s="1761"/>
      <c r="Q511" s="1761"/>
      <c r="R511" s="1761"/>
      <c r="S511" s="1761"/>
      <c r="T511" s="1761"/>
      <c r="U511" s="1761"/>
      <c r="V511" s="1761"/>
      <c r="W511" s="1761"/>
      <c r="X511" s="1761"/>
      <c r="Y511" s="1761"/>
      <c r="Z511" s="1761"/>
      <c r="AA511" s="1761"/>
      <c r="AB511" s="1761"/>
      <c r="AC511" s="1761"/>
      <c r="AD511" s="1761"/>
      <c r="AE511" s="1761"/>
      <c r="AF511" s="4"/>
      <c r="AG511" s="19"/>
      <c r="AH511" s="19"/>
      <c r="AI511" s="19"/>
      <c r="AJ511" s="19"/>
      <c r="AK511" s="702"/>
      <c r="AL511" s="4"/>
      <c r="AM511" s="4"/>
      <c r="AN511" s="666"/>
      <c r="AO511" s="38"/>
      <c r="AP511" s="1548"/>
      <c r="AQ511" s="1549"/>
      <c r="AR511" s="1550"/>
      <c r="AS511" s="621">
        <v>60</v>
      </c>
      <c r="AT511" s="4">
        <v>0</v>
      </c>
      <c r="AU511" s="158">
        <v>10</v>
      </c>
      <c r="AV511" s="158">
        <v>25</v>
      </c>
      <c r="AW511" s="158">
        <v>37.5</v>
      </c>
      <c r="AX511" s="158">
        <v>35</v>
      </c>
      <c r="AY511" s="158">
        <v>37.5</v>
      </c>
      <c r="AZ511" s="158">
        <v>50</v>
      </c>
      <c r="BA511" s="158">
        <v>50</v>
      </c>
      <c r="BB511" s="21"/>
      <c r="BC511" s="21"/>
      <c r="BE511" s="1548"/>
      <c r="BF511" s="1549"/>
      <c r="BG511" s="1550"/>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48"/>
      <c r="AQ512" s="1549"/>
      <c r="AR512" s="1550"/>
      <c r="AS512" s="621">
        <v>55</v>
      </c>
      <c r="AT512" s="4">
        <v>0</v>
      </c>
      <c r="AU512" s="158">
        <v>10</v>
      </c>
      <c r="AV512" s="158">
        <v>25</v>
      </c>
      <c r="AW512" s="158">
        <v>37.5</v>
      </c>
      <c r="AX512" s="158">
        <v>35</v>
      </c>
      <c r="AY512" s="158">
        <v>37.5</v>
      </c>
      <c r="AZ512" s="158">
        <v>50</v>
      </c>
      <c r="BA512" s="158">
        <v>50</v>
      </c>
      <c r="BE512" s="1548"/>
      <c r="BF512" s="1549"/>
      <c r="BG512" s="1550"/>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66" t="s">
        <v>124</v>
      </c>
      <c r="G513" s="1766"/>
      <c r="H513" s="1766"/>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548"/>
      <c r="AQ513" s="1549"/>
      <c r="AR513" s="1550"/>
      <c r="AS513" s="157">
        <v>50</v>
      </c>
      <c r="AT513" s="4">
        <v>0</v>
      </c>
      <c r="AU513" s="158">
        <v>10</v>
      </c>
      <c r="AV513" s="158">
        <v>25</v>
      </c>
      <c r="AW513" s="158">
        <v>37.5</v>
      </c>
      <c r="AX513" s="158">
        <v>35</v>
      </c>
      <c r="AY513" s="158">
        <v>37.5</v>
      </c>
      <c r="AZ513" s="158">
        <v>50</v>
      </c>
      <c r="BA513" s="158">
        <v>50</v>
      </c>
      <c r="BE513" s="1548"/>
      <c r="BF513" s="1549"/>
      <c r="BG513" s="1550"/>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48"/>
      <c r="AQ514" s="1549"/>
      <c r="AR514" s="1550"/>
      <c r="AS514" s="157">
        <v>45</v>
      </c>
      <c r="AT514" s="4">
        <v>0</v>
      </c>
      <c r="AU514" s="158">
        <v>10</v>
      </c>
      <c r="AV514" s="158">
        <v>22.5</v>
      </c>
      <c r="AW514" s="158">
        <v>33.799999999999997</v>
      </c>
      <c r="AX514" s="158">
        <v>35</v>
      </c>
      <c r="AY514" s="158">
        <v>37.5</v>
      </c>
      <c r="AZ514" s="158">
        <v>50</v>
      </c>
      <c r="BA514" s="158">
        <v>50</v>
      </c>
      <c r="BE514" s="1548"/>
      <c r="BF514" s="1549"/>
      <c r="BG514" s="1550"/>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47" t="s">
        <v>124</v>
      </c>
      <c r="D515" s="1748"/>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48"/>
      <c r="AQ515" s="1549"/>
      <c r="AR515" s="1550"/>
      <c r="AS515" s="157">
        <v>40</v>
      </c>
      <c r="AT515" s="4">
        <v>0</v>
      </c>
      <c r="AU515" s="158">
        <v>10</v>
      </c>
      <c r="AV515" s="158">
        <v>20</v>
      </c>
      <c r="AW515" s="158">
        <v>30</v>
      </c>
      <c r="AX515" s="158">
        <v>35</v>
      </c>
      <c r="AY515" s="158">
        <v>37.5</v>
      </c>
      <c r="AZ515" s="158">
        <v>50</v>
      </c>
      <c r="BA515" s="158">
        <v>50</v>
      </c>
      <c r="BE515" s="1548"/>
      <c r="BF515" s="1549"/>
      <c r="BG515" s="1550"/>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48"/>
      <c r="AQ516" s="1549"/>
      <c r="AR516" s="1550"/>
      <c r="AS516" s="157">
        <v>35</v>
      </c>
      <c r="AT516" s="4">
        <v>0</v>
      </c>
      <c r="AU516" s="158">
        <v>8.8000000000000007</v>
      </c>
      <c r="AV516" s="158">
        <v>17.5</v>
      </c>
      <c r="AW516" s="158">
        <v>26.3</v>
      </c>
      <c r="AX516" s="158">
        <v>35</v>
      </c>
      <c r="AY516" s="158">
        <v>37.5</v>
      </c>
      <c r="AZ516" s="158">
        <v>50</v>
      </c>
      <c r="BA516" s="158">
        <v>50</v>
      </c>
      <c r="BE516" s="1548"/>
      <c r="BF516" s="1549"/>
      <c r="BG516" s="1550"/>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51"/>
      <c r="D517" s="1608"/>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548"/>
      <c r="AQ517" s="1549"/>
      <c r="AR517" s="1550"/>
      <c r="AS517" s="157">
        <v>30</v>
      </c>
      <c r="AT517" s="4">
        <v>0</v>
      </c>
      <c r="AU517" s="158">
        <v>7.5</v>
      </c>
      <c r="AV517" s="158">
        <v>15</v>
      </c>
      <c r="AW517" s="158">
        <v>22.5</v>
      </c>
      <c r="AX517" s="158">
        <v>30</v>
      </c>
      <c r="AY517" s="158">
        <v>37.5</v>
      </c>
      <c r="AZ517" s="158">
        <v>45</v>
      </c>
      <c r="BA517" s="158">
        <v>50</v>
      </c>
      <c r="BE517" s="1548"/>
      <c r="BF517" s="1549"/>
      <c r="BG517" s="1550"/>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62" t="s">
        <v>124</v>
      </c>
      <c r="H518" s="1762"/>
      <c r="I518" s="1762"/>
      <c r="J518" s="1762"/>
      <c r="K518" s="1762"/>
      <c r="L518" s="1762"/>
      <c r="M518" s="1762"/>
      <c r="N518" s="1762"/>
      <c r="O518" s="1762"/>
      <c r="P518" s="1762"/>
      <c r="Q518" s="1762"/>
      <c r="R518" s="1762"/>
      <c r="S518" s="1762"/>
      <c r="T518" s="1762"/>
      <c r="U518" s="1762"/>
      <c r="V518" s="1762"/>
      <c r="W518" s="1762"/>
      <c r="X518" s="1762"/>
      <c r="Y518" s="1762"/>
      <c r="Z518" s="1762"/>
      <c r="AA518" s="1762"/>
      <c r="AB518" s="1762"/>
      <c r="AC518" s="1762"/>
      <c r="AD518" s="1762"/>
      <c r="AE518" s="1762"/>
      <c r="AF518" s="1762"/>
      <c r="AG518" s="4"/>
      <c r="AH518" s="4"/>
      <c r="AI518" s="4"/>
      <c r="AJ518" s="19"/>
      <c r="AK518" s="702"/>
      <c r="AL518" s="4"/>
      <c r="AM518" s="4"/>
      <c r="AN518" s="666"/>
      <c r="AP518" s="1548"/>
      <c r="AQ518" s="1549"/>
      <c r="AR518" s="1550"/>
      <c r="AS518" s="157">
        <v>25</v>
      </c>
      <c r="AT518" s="4">
        <v>0</v>
      </c>
      <c r="AU518" s="158">
        <v>6.3</v>
      </c>
      <c r="AV518" s="158">
        <v>12.5</v>
      </c>
      <c r="AW518" s="158">
        <v>18.8</v>
      </c>
      <c r="AX518" s="158">
        <v>25</v>
      </c>
      <c r="AY518" s="158">
        <v>31.3</v>
      </c>
      <c r="AZ518" s="158">
        <v>37.5</v>
      </c>
      <c r="BA518" s="158">
        <v>50</v>
      </c>
      <c r="BE518" s="1548"/>
      <c r="BF518" s="1549"/>
      <c r="BG518" s="1550"/>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48"/>
      <c r="AQ519" s="1549"/>
      <c r="AR519" s="1550"/>
      <c r="AS519" s="157">
        <v>20</v>
      </c>
      <c r="AT519" s="4">
        <v>0</v>
      </c>
      <c r="AU519" s="158">
        <v>5</v>
      </c>
      <c r="AV519" s="158">
        <v>10</v>
      </c>
      <c r="AW519" s="158">
        <v>15</v>
      </c>
      <c r="AX519" s="158">
        <v>20</v>
      </c>
      <c r="AY519" s="158">
        <v>25</v>
      </c>
      <c r="AZ519" s="158">
        <v>30</v>
      </c>
      <c r="BA519" s="158">
        <v>40</v>
      </c>
      <c r="BE519" s="1548"/>
      <c r="BF519" s="1549"/>
      <c r="BG519" s="1550"/>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42" t="s">
        <v>124</v>
      </c>
      <c r="D520" s="1743"/>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548"/>
      <c r="AQ520" s="1549"/>
      <c r="AR520" s="1550"/>
      <c r="AS520" s="157">
        <v>15</v>
      </c>
      <c r="AT520" s="4">
        <v>0</v>
      </c>
      <c r="AU520" s="158">
        <v>3.8</v>
      </c>
      <c r="AV520" s="158">
        <v>7.5</v>
      </c>
      <c r="AW520" s="158">
        <v>11.3</v>
      </c>
      <c r="AX520" s="158">
        <v>15</v>
      </c>
      <c r="AY520" s="158">
        <v>18.8</v>
      </c>
      <c r="AZ520" s="158">
        <v>22.5</v>
      </c>
      <c r="BA520" s="158">
        <v>30</v>
      </c>
      <c r="BE520" s="1548"/>
      <c r="BF520" s="1549"/>
      <c r="BG520" s="1550"/>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51"/>
      <c r="AQ521" s="1552"/>
      <c r="AR521" s="1553"/>
      <c r="AS521" s="157">
        <v>10</v>
      </c>
      <c r="AT521" s="4">
        <v>0</v>
      </c>
      <c r="AU521" s="158">
        <v>2.5</v>
      </c>
      <c r="AV521" s="158">
        <v>5</v>
      </c>
      <c r="AW521" s="158">
        <v>7.5</v>
      </c>
      <c r="AX521" s="158">
        <v>10</v>
      </c>
      <c r="AY521" s="158">
        <v>12.5</v>
      </c>
      <c r="AZ521" s="158">
        <v>15</v>
      </c>
      <c r="BA521" s="158">
        <v>20</v>
      </c>
      <c r="BE521" s="1551"/>
      <c r="BF521" s="1552"/>
      <c r="BG521" s="1553"/>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42" t="s">
        <v>124</v>
      </c>
      <c r="D524" s="1743"/>
      <c r="F524" s="493" t="s">
        <v>874</v>
      </c>
      <c r="G524" s="1698" t="s">
        <v>983</v>
      </c>
      <c r="H524" s="1698"/>
      <c r="I524" s="1698"/>
      <c r="J524" s="1698"/>
      <c r="K524" s="1698"/>
      <c r="L524" s="1698"/>
      <c r="M524" s="1698"/>
      <c r="N524" s="1698"/>
      <c r="O524" s="1698"/>
      <c r="P524" s="1698"/>
      <c r="Q524" s="1698"/>
      <c r="R524" s="1698"/>
      <c r="S524" s="1698"/>
      <c r="T524" s="1698"/>
      <c r="U524" s="1698"/>
      <c r="V524" s="1698"/>
      <c r="W524" s="1698"/>
      <c r="X524" s="1698"/>
      <c r="Y524" s="1698"/>
      <c r="Z524" s="1698"/>
      <c r="AA524" s="1698"/>
      <c r="AB524" s="1698"/>
      <c r="AC524" s="1698"/>
      <c r="AD524" s="1698"/>
      <c r="AE524" s="1698"/>
      <c r="AF524" s="1698"/>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87">
        <f>BJ528</f>
        <v>49</v>
      </c>
      <c r="BE524" s="1787"/>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46"/>
      <c r="H525" s="1746"/>
      <c r="I525" s="1746"/>
      <c r="J525" s="1746"/>
      <c r="K525" s="1746"/>
      <c r="L525" s="1746"/>
      <c r="M525" s="1746"/>
      <c r="N525" s="1746"/>
      <c r="O525" s="1746"/>
      <c r="P525" s="1746"/>
      <c r="Q525" s="1746"/>
      <c r="R525" s="1746"/>
      <c r="S525" s="1746"/>
      <c r="T525" s="1746"/>
      <c r="U525" s="1746"/>
      <c r="V525" s="1746"/>
      <c r="W525" s="1746"/>
      <c r="X525" s="1746"/>
      <c r="Y525" s="1746"/>
      <c r="Z525" s="1746"/>
      <c r="AA525" s="1746"/>
      <c r="AB525" s="1746"/>
      <c r="AC525" s="1746"/>
      <c r="AD525" s="1746"/>
      <c r="AE525" s="1746"/>
      <c r="AF525" s="1746"/>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87">
        <f>SUM(E581:J589)</f>
        <v>49</v>
      </c>
      <c r="BE525" s="1787"/>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92">
        <v>0</v>
      </c>
      <c r="BK526" s="1793"/>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92">
        <f>Application!AG439</f>
        <v>0</v>
      </c>
      <c r="BK527" s="1793"/>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44" t="s">
        <v>124</v>
      </c>
      <c r="D528" s="1149"/>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92">
        <f>Application!AG441</f>
        <v>49</v>
      </c>
      <c r="BK528" s="1793"/>
      <c r="BM528" s="1763"/>
      <c r="BN528" s="1764"/>
      <c r="BO528" s="1763"/>
      <c r="BP528" s="1764"/>
      <c r="BQ528" s="1768"/>
      <c r="BR528" s="1770"/>
      <c r="BS528" s="1768"/>
      <c r="BT528" s="1770"/>
      <c r="BU528" s="1763">
        <f>IF(T611&gt;0,1,0)</f>
        <v>1</v>
      </c>
      <c r="BV528" s="1764"/>
      <c r="BW528" s="1763">
        <f>IF(Y611&gt;=0.1,1,0)</f>
        <v>1</v>
      </c>
      <c r="BX528" s="1764"/>
      <c r="BY528" s="1768"/>
      <c r="BZ528" s="1770"/>
      <c r="CA528" s="1768"/>
      <c r="CB528" s="1770"/>
      <c r="CC528" s="1763"/>
      <c r="CD528" s="1764"/>
      <c r="CE528" s="1763"/>
      <c r="CF528" s="1764"/>
      <c r="CG528"/>
      <c r="CH528"/>
      <c r="CI528"/>
      <c r="CJ528"/>
    </row>
    <row r="529" spans="1:101" s="4" customFormat="1" ht="12.75" hidden="1" customHeight="1">
      <c r="C529" s="696"/>
      <c r="E529" s="141"/>
      <c r="F529" s="1150" t="s">
        <v>124</v>
      </c>
      <c r="G529" s="1150"/>
      <c r="H529" s="1150"/>
      <c r="I529" s="1150"/>
      <c r="J529" s="1150"/>
      <c r="K529" s="1150"/>
      <c r="L529" s="1150"/>
      <c r="M529" s="1150"/>
      <c r="N529" s="1150"/>
      <c r="O529" s="1150"/>
      <c r="P529" s="1150"/>
      <c r="Q529" s="1150"/>
      <c r="R529" s="1150"/>
      <c r="S529" s="1150"/>
      <c r="T529" s="1150"/>
      <c r="U529" s="1150"/>
      <c r="V529" s="1150"/>
      <c r="W529" s="1150"/>
      <c r="X529" s="1150"/>
      <c r="Y529" s="1150"/>
      <c r="Z529" s="1150"/>
      <c r="AA529" s="1150"/>
      <c r="AB529" s="1150"/>
      <c r="AC529" s="1150"/>
      <c r="AD529" s="1150"/>
      <c r="AE529" s="1150"/>
      <c r="AF529" s="1150"/>
      <c r="AG529" s="19"/>
      <c r="AH529" s="19"/>
      <c r="AI529" s="19"/>
      <c r="AJ529" s="19"/>
      <c r="AK529" s="702"/>
      <c r="AN529" s="279"/>
      <c r="BM529" s="1763"/>
      <c r="BN529" s="1764"/>
      <c r="BO529" s="1763"/>
      <c r="BP529" s="1764"/>
      <c r="BQ529" s="1768"/>
      <c r="BR529" s="1770"/>
      <c r="BS529" s="1768"/>
      <c r="BT529" s="1770"/>
      <c r="BU529" s="1763"/>
      <c r="BV529" s="1764"/>
      <c r="BW529" s="1763"/>
      <c r="BX529" s="1764"/>
      <c r="BY529" s="1768">
        <f>IF(T612&gt;0,1,0)</f>
        <v>1</v>
      </c>
      <c r="BZ529" s="1770"/>
      <c r="CA529" s="1768">
        <f>IF(Y612&gt;=0.1,1,0)</f>
        <v>1</v>
      </c>
      <c r="CB529" s="1770"/>
      <c r="CC529" s="1763"/>
      <c r="CD529" s="1764"/>
      <c r="CE529" s="1763"/>
      <c r="CF529" s="1764"/>
      <c r="CG529"/>
      <c r="CH529"/>
      <c r="CI529"/>
      <c r="CJ529"/>
      <c r="CW529"/>
    </row>
    <row r="530" spans="1:101" s="4" customFormat="1" ht="12.75" hidden="1" customHeight="1">
      <c r="C530" s="744"/>
      <c r="D530" s="711"/>
      <c r="E530" s="725"/>
      <c r="F530" s="1729"/>
      <c r="G530" s="1729"/>
      <c r="H530" s="1729"/>
      <c r="I530" s="1729"/>
      <c r="J530" s="1729"/>
      <c r="K530" s="1729"/>
      <c r="L530" s="1729"/>
      <c r="M530" s="1729"/>
      <c r="N530" s="1729"/>
      <c r="O530" s="1729"/>
      <c r="P530" s="1729"/>
      <c r="Q530" s="1729"/>
      <c r="R530" s="1729"/>
      <c r="S530" s="1729"/>
      <c r="T530" s="1729"/>
      <c r="U530" s="1729"/>
      <c r="V530" s="1729"/>
      <c r="W530" s="1729"/>
      <c r="X530" s="1729"/>
      <c r="Y530" s="1729"/>
      <c r="Z530" s="1729"/>
      <c r="AA530" s="1729"/>
      <c r="AB530" s="1729"/>
      <c r="AC530" s="1729"/>
      <c r="AD530" s="1729"/>
      <c r="AE530" s="1729"/>
      <c r="AF530" s="1729"/>
      <c r="AG530" s="727"/>
      <c r="AH530" s="727"/>
      <c r="AI530" s="727"/>
      <c r="AJ530" s="727"/>
      <c r="AK530" s="712"/>
      <c r="AN530" s="279"/>
      <c r="BM530" s="1763"/>
      <c r="BN530" s="1764"/>
      <c r="BO530" s="1763"/>
      <c r="BP530" s="1764"/>
      <c r="BQ530" s="1768"/>
      <c r="BR530" s="1770"/>
      <c r="BS530" s="1768"/>
      <c r="BT530" s="1770"/>
      <c r="BU530" s="1763"/>
      <c r="BV530" s="1764"/>
      <c r="BW530" s="1763"/>
      <c r="BX530" s="1764"/>
      <c r="BY530" s="1768"/>
      <c r="BZ530" s="1770"/>
      <c r="CA530" s="1768"/>
      <c r="CB530" s="1770"/>
      <c r="CC530" s="1763">
        <f>IF(T613&gt;0,1,0)</f>
        <v>0</v>
      </c>
      <c r="CD530" s="1764"/>
      <c r="CE530" s="1763">
        <f>IF(Y613&gt;=0.1,1,0)</f>
        <v>0</v>
      </c>
      <c r="CF530" s="1764"/>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63">
        <f>SUM(BM526:BN530)</f>
        <v>0</v>
      </c>
      <c r="BN531" s="1764"/>
      <c r="BO531" s="1763">
        <f>SUM(BO526:BP530)</f>
        <v>0</v>
      </c>
      <c r="BP531" s="1764"/>
      <c r="BQ531" s="1763">
        <f>SUM(BQ526:BR530)</f>
        <v>1</v>
      </c>
      <c r="BR531" s="1764"/>
      <c r="BS531" s="1763">
        <f>SUM(BS526:BT530)</f>
        <v>1</v>
      </c>
      <c r="BT531" s="1764"/>
      <c r="BU531" s="1763">
        <f>SUM(BU526:BV530)</f>
        <v>1</v>
      </c>
      <c r="BV531" s="1764"/>
      <c r="BW531" s="1763">
        <f>SUM(BW526:BX530)</f>
        <v>1</v>
      </c>
      <c r="BX531" s="1764"/>
      <c r="BY531" s="1763">
        <f>SUM(BY526:BZ530)</f>
        <v>1</v>
      </c>
      <c r="BZ531" s="1764"/>
      <c r="CA531" s="1763">
        <f>SUM(CA526:CB530)</f>
        <v>1</v>
      </c>
      <c r="CB531" s="1764"/>
      <c r="CC531" s="1763">
        <f>SUM(CC526:CD530)</f>
        <v>0</v>
      </c>
      <c r="CD531" s="1764"/>
      <c r="CE531" s="1763">
        <f>SUM(CE526:CF530)</f>
        <v>0</v>
      </c>
      <c r="CF531" s="1764"/>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39" t="s">
        <v>455</v>
      </c>
      <c r="AQ532" s="1740"/>
      <c r="AR532" s="1740"/>
      <c r="AS532" s="1740"/>
      <c r="AT532" s="1741"/>
      <c r="AU532" s="1739" t="s">
        <v>456</v>
      </c>
      <c r="AV532" s="1740"/>
      <c r="AW532" s="1740"/>
      <c r="AX532" s="1740"/>
      <c r="AY532" s="1741"/>
      <c r="BM532" s="1768">
        <f>SUM(BM531:BP531)</f>
        <v>0</v>
      </c>
      <c r="BN532" s="1769"/>
      <c r="BO532" s="1769"/>
      <c r="BP532" s="1770"/>
      <c r="BQ532" s="1768">
        <f>SUM(BQ531:BT531)</f>
        <v>2</v>
      </c>
      <c r="BR532" s="1769"/>
      <c r="BS532" s="1769"/>
      <c r="BT532" s="1770"/>
      <c r="BU532" s="1768">
        <f>SUM(BU531:BX531)</f>
        <v>2</v>
      </c>
      <c r="BV532" s="1769"/>
      <c r="BW532" s="1769"/>
      <c r="BX532" s="1770"/>
      <c r="BY532" s="1768">
        <f>SUM(BY531:CB531)</f>
        <v>2</v>
      </c>
      <c r="BZ532" s="1769"/>
      <c r="CA532" s="1769"/>
      <c r="CB532" s="1770"/>
      <c r="CC532" s="1768">
        <f>SUM(CC531:CF531)</f>
        <v>0</v>
      </c>
      <c r="CD532" s="1769"/>
      <c r="CE532" s="1769"/>
      <c r="CF532" s="1770"/>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36">
        <f>RANK(T609,$T$609:$X$613,0)+COUNTIF($T$609:$X$613,T609)-1</f>
        <v>5</v>
      </c>
      <c r="AQ533" s="1737"/>
      <c r="AR533" s="1737"/>
      <c r="AS533" s="1737"/>
      <c r="AT533" s="1738"/>
      <c r="AU533" s="1736">
        <f>RANK(Y609,$Y$609:$AC$613,0)+COUNTIF($Y$609:$AC$613,Y609)-1</f>
        <v>5</v>
      </c>
      <c r="AV533" s="1737"/>
      <c r="AW533" s="1737"/>
      <c r="AX533" s="1737"/>
      <c r="AY533" s="1738"/>
      <c r="BM533" s="1768"/>
      <c r="BN533" s="1769"/>
      <c r="BO533" s="1769"/>
      <c r="BP533" s="1770"/>
      <c r="BQ533" s="1768">
        <f>IF(AND(BQ532=2,BM532=1),1,0)</f>
        <v>0</v>
      </c>
      <c r="BR533" s="1769"/>
      <c r="BS533" s="1769"/>
      <c r="BT533" s="1770"/>
      <c r="BU533" s="1768">
        <f>IF(AND(BU532=2,BQ532=1),1,0)</f>
        <v>0</v>
      </c>
      <c r="BV533" s="1769"/>
      <c r="BW533" s="1769"/>
      <c r="BX533" s="1770"/>
      <c r="BY533" s="1768">
        <f>IF(AND(BY532=2,BU532=1),1,0)</f>
        <v>0</v>
      </c>
      <c r="BZ533" s="1769"/>
      <c r="CA533" s="1769"/>
      <c r="CB533" s="1770"/>
      <c r="CC533" s="1768">
        <f>IF(AND(CC532=2,BU532=1),1,0)</f>
        <v>0</v>
      </c>
      <c r="CD533" s="1769"/>
      <c r="CE533" s="1769"/>
      <c r="CF533" s="1770"/>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36">
        <f>RANK(T610,$T$609:$X$613,0)+COUNTIF($T$609:$X$613,T610)-1</f>
        <v>3</v>
      </c>
      <c r="AQ534" s="1737"/>
      <c r="AR534" s="1737"/>
      <c r="AS534" s="1737"/>
      <c r="AT534" s="1738"/>
      <c r="AU534" s="1736">
        <f>RANK(Y610,$Y$609:$AC$613,0)+COUNTIF($Y$609:$AC$613,Y610)-1</f>
        <v>3</v>
      </c>
      <c r="AV534" s="1737"/>
      <c r="AW534" s="1737"/>
      <c r="AX534" s="1737"/>
      <c r="AY534" s="1738"/>
      <c r="BM534" s="1768"/>
      <c r="BN534" s="1769"/>
      <c r="BO534" s="1769"/>
      <c r="BP534" s="1770"/>
      <c r="BQ534" s="1768"/>
      <c r="BR534" s="1769"/>
      <c r="BS534" s="1769"/>
      <c r="BT534" s="1770"/>
      <c r="BU534" s="1768">
        <f>IF(AND(BU532=2,BM532=1),1,0)</f>
        <v>0</v>
      </c>
      <c r="BV534" s="1769"/>
      <c r="BW534" s="1769"/>
      <c r="BX534" s="1770"/>
      <c r="BY534" s="1768">
        <f>IF(AND(BY532=2,BQ532=1),1,0)</f>
        <v>0</v>
      </c>
      <c r="BZ534" s="1769"/>
      <c r="CA534" s="1769"/>
      <c r="CB534" s="1770"/>
      <c r="CC534" s="1768">
        <f>IF(AND(CC533=2,BY533=1),1,0)</f>
        <v>0</v>
      </c>
      <c r="CD534" s="1769"/>
      <c r="CE534" s="1769"/>
      <c r="CF534" s="1770"/>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36">
        <f>RANK(T611,$T$609:$X$613,0)+COUNTIF($T$609:$X$613,T611)-1</f>
        <v>1</v>
      </c>
      <c r="AQ535" s="1737"/>
      <c r="AR535" s="1737"/>
      <c r="AS535" s="1737"/>
      <c r="AT535" s="1738"/>
      <c r="AU535" s="1736">
        <f>RANK(Y611,$Y$609:$AC$613,0)+COUNTIF($Y$609:$AC$613,Y611)-1</f>
        <v>2</v>
      </c>
      <c r="AV535" s="1737"/>
      <c r="AW535" s="1737"/>
      <c r="AX535" s="1737"/>
      <c r="AY535" s="1738"/>
      <c r="BM535" s="1768"/>
      <c r="BN535" s="1769"/>
      <c r="BO535" s="1769"/>
      <c r="BP535" s="1770"/>
      <c r="BQ535" s="1768"/>
      <c r="BR535" s="1769"/>
      <c r="BS535" s="1769"/>
      <c r="BT535" s="1770"/>
      <c r="BU535" s="1768"/>
      <c r="BV535" s="1769"/>
      <c r="BW535" s="1769"/>
      <c r="BX535" s="1770"/>
      <c r="BY535" s="1768">
        <f>IF(AND(BY532=2,BM532=1),1,0)</f>
        <v>0</v>
      </c>
      <c r="BZ535" s="1769"/>
      <c r="CA535" s="1769"/>
      <c r="CB535" s="1770"/>
      <c r="CC535" s="1768">
        <f>IF(AND(CC532=2,BQ532=1),1,0)</f>
        <v>0</v>
      </c>
      <c r="CD535" s="1769"/>
      <c r="CE535" s="1769"/>
      <c r="CF535" s="1770"/>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36">
        <f>RANK(T612,$T$609:$X$613,0)+COUNTIF($T$609:$X$613,T612)-1</f>
        <v>2</v>
      </c>
      <c r="AQ536" s="1737"/>
      <c r="AR536" s="1737"/>
      <c r="AS536" s="1737"/>
      <c r="AT536" s="1738"/>
      <c r="AU536" s="1736">
        <f>RANK(Y612,$Y$609:$AC$613,0)+COUNTIF($Y$609:$AC$613,Y612)-1</f>
        <v>1</v>
      </c>
      <c r="AV536" s="1737"/>
      <c r="AW536" s="1737"/>
      <c r="AX536" s="1737"/>
      <c r="AY536" s="1738"/>
      <c r="BM536" s="1768"/>
      <c r="BN536" s="1769"/>
      <c r="BO536" s="1769"/>
      <c r="BP536" s="1770"/>
      <c r="BQ536" s="1768"/>
      <c r="BR536" s="1769"/>
      <c r="BS536" s="1769"/>
      <c r="BT536" s="1770"/>
      <c r="BU536" s="1768"/>
      <c r="BV536" s="1769"/>
      <c r="BW536" s="1769"/>
      <c r="BX536" s="1770"/>
      <c r="BY536" s="1768"/>
      <c r="BZ536" s="1769"/>
      <c r="CA536" s="1769"/>
      <c r="CB536" s="1770"/>
      <c r="CC536" s="1768">
        <f>IF(AND(CC532=2,BM532=1),1,0)</f>
        <v>0</v>
      </c>
      <c r="CD536" s="1769"/>
      <c r="CE536" s="1769"/>
      <c r="CF536" s="1770"/>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36">
        <f>RANK(T613,$T$609:$X$613,0)+COUNTIF($T$609:$X$613,T613)-1</f>
        <v>5</v>
      </c>
      <c r="AQ537" s="1737"/>
      <c r="AR537" s="1737"/>
      <c r="AS537" s="1737"/>
      <c r="AT537" s="1738"/>
      <c r="AU537" s="1736">
        <f>RANK(Y613,$Y$609:$AC$613,0)+COUNTIF($Y$609:$AC$613,Y613)-1</f>
        <v>5</v>
      </c>
      <c r="AV537" s="1737"/>
      <c r="AW537" s="1737"/>
      <c r="AX537" s="1737"/>
      <c r="AY537" s="1738"/>
      <c r="BM537" s="1768">
        <f>SUM(BM533:BP536)</f>
        <v>0</v>
      </c>
      <c r="BN537" s="1769"/>
      <c r="BO537" s="1769"/>
      <c r="BP537" s="1770"/>
      <c r="BQ537" s="1768">
        <f>SUM(BQ533:BT536)</f>
        <v>0</v>
      </c>
      <c r="BR537" s="1769"/>
      <c r="BS537" s="1769"/>
      <c r="BT537" s="1770"/>
      <c r="BU537" s="1768">
        <f>SUM(BU533:BX536)</f>
        <v>0</v>
      </c>
      <c r="BV537" s="1769"/>
      <c r="BW537" s="1769"/>
      <c r="BX537" s="1770"/>
      <c r="BY537" s="1768">
        <f>SUM(BY533:CB536)</f>
        <v>0</v>
      </c>
      <c r="BZ537" s="1769"/>
      <c r="CA537" s="1769"/>
      <c r="CB537" s="1770"/>
      <c r="CC537" s="1768">
        <f>SUM(CC533:CF536)</f>
        <v>0</v>
      </c>
      <c r="CD537" s="1769"/>
      <c r="CE537" s="1769"/>
      <c r="CF537" s="1770"/>
      <c r="CG537" s="1768">
        <f>SUM(BM537:CF537)</f>
        <v>0</v>
      </c>
      <c r="CH537" s="1769"/>
      <c r="CI537" s="1769"/>
      <c r="CJ537" s="1770"/>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308">
        <f>SUM(AG484:AG529)</f>
        <v>0</v>
      </c>
      <c r="AL540" s="1309"/>
      <c r="AM540" s="1310"/>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63">
        <f>SUM(O609:S613)</f>
        <v>49</v>
      </c>
      <c r="AZ541" s="1764"/>
      <c r="CG541"/>
      <c r="CH541" s="1878" t="s">
        <v>775</v>
      </c>
      <c r="CI541" s="1282"/>
      <c r="CJ541" s="1282"/>
      <c r="CK541" s="1283"/>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63" t="str">
        <f>IF(AY541=BK568,"passed","failed")</f>
        <v>passed</v>
      </c>
      <c r="AT542" s="1767"/>
      <c r="AU542" s="1764"/>
      <c r="AV542" s="149"/>
      <c r="AW542" s="149"/>
      <c r="AX542" s="149"/>
      <c r="AY542" s="149"/>
      <c r="AZ542" s="150"/>
      <c r="CG542"/>
      <c r="CH542" s="1284"/>
      <c r="CI542" s="1285"/>
      <c r="CJ542" s="1285"/>
      <c r="CK542" s="1286"/>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54" t="s">
        <v>365</v>
      </c>
      <c r="AF543" s="1754"/>
      <c r="AG543" s="1754"/>
      <c r="AH543" s="1754"/>
      <c r="AI543" s="1754"/>
      <c r="AJ543" s="1754"/>
      <c r="AK543" s="1754"/>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84"/>
      <c r="CI543" s="1285"/>
      <c r="CJ543" s="1285"/>
      <c r="CK543" s="1286"/>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31" t="s">
        <v>182</v>
      </c>
      <c r="AH544" s="1731"/>
      <c r="AI544" s="1731"/>
      <c r="AJ544" s="1731"/>
      <c r="AK544" s="18"/>
      <c r="AL544" s="18"/>
      <c r="AM544" s="21"/>
      <c r="AN544" s="279"/>
      <c r="BE544" s="1768" t="s">
        <v>223</v>
      </c>
      <c r="BF544" s="1769"/>
      <c r="BG544" s="1769"/>
      <c r="BH544" s="1770"/>
      <c r="BI544" s="1768" t="s">
        <v>716</v>
      </c>
      <c r="BJ544" s="1769"/>
      <c r="BK544" s="1769"/>
      <c r="BL544" s="1770"/>
      <c r="BM544" s="1768" t="s">
        <v>717</v>
      </c>
      <c r="BN544" s="1769"/>
      <c r="BO544" s="1769"/>
      <c r="BP544" s="1770"/>
      <c r="BQ544" s="1768" t="s">
        <v>718</v>
      </c>
      <c r="BR544" s="1769"/>
      <c r="BS544" s="1769"/>
      <c r="BT544" s="1770"/>
      <c r="BU544" s="1768" t="s">
        <v>719</v>
      </c>
      <c r="BV544" s="1769"/>
      <c r="BW544" s="1769"/>
      <c r="BX544" s="1770"/>
      <c r="BY544" s="1768" t="s">
        <v>224</v>
      </c>
      <c r="BZ544" s="1769"/>
      <c r="CA544" s="1769"/>
      <c r="CB544" s="1770"/>
      <c r="CC544"/>
      <c r="CG544"/>
      <c r="CH544" s="1284"/>
      <c r="CI544" s="1285"/>
      <c r="CJ544" s="1285"/>
      <c r="CK544" s="1286"/>
    </row>
    <row r="545" spans="1:89" s="4" customFormat="1" ht="12.75" customHeight="1">
      <c r="A545" s="3"/>
      <c r="B545" s="1720" t="s">
        <v>2304</v>
      </c>
      <c r="C545" s="1720"/>
      <c r="D545" s="1720"/>
      <c r="E545" s="1720"/>
      <c r="F545" s="1720"/>
      <c r="G545" s="1720"/>
      <c r="H545" s="1720"/>
      <c r="I545" s="1720"/>
      <c r="J545" s="1720"/>
      <c r="K545" s="1720"/>
      <c r="L545" s="1720"/>
      <c r="M545" s="1720"/>
      <c r="N545" s="1720"/>
      <c r="O545" s="1720"/>
      <c r="P545" s="1720"/>
      <c r="Q545" s="1720"/>
      <c r="R545" s="1720"/>
      <c r="S545" s="1720"/>
      <c r="T545" s="1720"/>
      <c r="U545" s="1720"/>
      <c r="V545" s="1720"/>
      <c r="W545" s="1720"/>
      <c r="X545" s="1720"/>
      <c r="Y545" s="1720"/>
      <c r="Z545" s="1720"/>
      <c r="AA545" s="1720"/>
      <c r="AB545" s="1720"/>
      <c r="AC545" s="1720"/>
      <c r="AD545" s="1720"/>
      <c r="AE545" s="1720"/>
      <c r="AF545" s="1720"/>
      <c r="AG545" s="1720"/>
      <c r="AK545" s="21"/>
      <c r="AL545" s="21"/>
      <c r="AN545" s="279"/>
      <c r="AP545" s="431" t="s">
        <v>613</v>
      </c>
      <c r="AQ545" s="432"/>
      <c r="AR545" s="432"/>
      <c r="AS545" s="432"/>
      <c r="AT545" s="432"/>
      <c r="AU545" s="432"/>
      <c r="AV545" s="433"/>
      <c r="AW545" s="432"/>
      <c r="AX545" s="432"/>
      <c r="AY545" s="433"/>
      <c r="BE545" s="1763">
        <f>IF(CH546=1,0,1)</f>
        <v>0</v>
      </c>
      <c r="BF545" s="1767"/>
      <c r="BG545" s="1767"/>
      <c r="BH545" s="1764"/>
      <c r="BI545" s="1763"/>
      <c r="BJ545" s="1767"/>
      <c r="BK545" s="1767"/>
      <c r="BL545" s="1764"/>
      <c r="BM545" s="1763"/>
      <c r="BN545" s="1767"/>
      <c r="BO545" s="1767"/>
      <c r="BP545" s="1764"/>
      <c r="BQ545" s="1763"/>
      <c r="BR545" s="1767"/>
      <c r="BS545" s="1767"/>
      <c r="BT545" s="1764"/>
      <c r="BU545" s="1768"/>
      <c r="BV545" s="1769"/>
      <c r="BW545" s="1769"/>
      <c r="BX545" s="1770"/>
      <c r="BY545" s="1768"/>
      <c r="BZ545" s="1769"/>
      <c r="CA545" s="1769"/>
      <c r="CB545" s="1770"/>
      <c r="CC545"/>
      <c r="CG545"/>
      <c r="CH545" s="1287"/>
      <c r="CI545" s="1288"/>
      <c r="CJ545" s="1288"/>
      <c r="CK545" s="1289"/>
    </row>
    <row r="546" spans="1:89" s="4" customFormat="1" ht="12.75" customHeight="1">
      <c r="A546" s="20"/>
      <c r="B546" s="1720"/>
      <c r="C546" s="1720"/>
      <c r="D546" s="1720"/>
      <c r="E546" s="1720"/>
      <c r="F546" s="1720"/>
      <c r="G546" s="1720"/>
      <c r="H546" s="1720"/>
      <c r="I546" s="1720"/>
      <c r="J546" s="1720"/>
      <c r="K546" s="1720"/>
      <c r="L546" s="1720"/>
      <c r="M546" s="1720"/>
      <c r="N546" s="1720"/>
      <c r="O546" s="1720"/>
      <c r="P546" s="1720"/>
      <c r="Q546" s="1720"/>
      <c r="R546" s="1720"/>
      <c r="S546" s="1720"/>
      <c r="T546" s="1720"/>
      <c r="U546" s="1720"/>
      <c r="V546" s="1720"/>
      <c r="W546" s="1720"/>
      <c r="X546" s="1720"/>
      <c r="Y546" s="1720"/>
      <c r="Z546" s="1720"/>
      <c r="AA546" s="1720"/>
      <c r="AB546" s="1720"/>
      <c r="AC546" s="1720"/>
      <c r="AD546" s="1720"/>
      <c r="AE546" s="1720"/>
      <c r="AF546" s="1720"/>
      <c r="AG546" s="1720"/>
      <c r="AK546" s="161"/>
      <c r="AL546" s="161"/>
      <c r="AM546" s="161"/>
      <c r="AN546" s="279"/>
      <c r="AP546" s="434" t="s">
        <v>611</v>
      </c>
      <c r="AQ546" s="435"/>
      <c r="AR546" s="435"/>
      <c r="AS546" s="435"/>
      <c r="AT546" s="435"/>
      <c r="AU546" s="1771">
        <f>ROUNDUP(BK568*0.1,0)</f>
        <v>5</v>
      </c>
      <c r="AV546" s="1772"/>
      <c r="AW546" s="435"/>
      <c r="AX546" s="435">
        <f>AU546-AP548</f>
        <v>-8</v>
      </c>
      <c r="AY546" s="436"/>
      <c r="BE546" s="1763"/>
      <c r="BF546" s="1767"/>
      <c r="BG546" s="1767"/>
      <c r="BH546" s="1764"/>
      <c r="BI546" s="1763">
        <f>IF(AND(CH547=1,BE545=0),0,1)</f>
        <v>0</v>
      </c>
      <c r="BJ546" s="1767"/>
      <c r="BK546" s="1767"/>
      <c r="BL546" s="1764"/>
      <c r="BM546" s="1763"/>
      <c r="BN546" s="1767"/>
      <c r="BO546" s="1767"/>
      <c r="BP546" s="1764"/>
      <c r="BQ546" s="1763"/>
      <c r="BR546" s="1767"/>
      <c r="BS546" s="1767"/>
      <c r="BT546" s="1764"/>
      <c r="BU546" s="1768"/>
      <c r="BV546" s="1769"/>
      <c r="BW546" s="1769"/>
      <c r="BX546" s="1770"/>
      <c r="BY546" s="1768"/>
      <c r="BZ546" s="1769"/>
      <c r="CA546" s="1769"/>
      <c r="CB546" s="1770"/>
      <c r="CC546"/>
      <c r="CG546"/>
      <c r="CH546" s="1768">
        <f>IF(OR(Y609=0,Y609&gt;=0.1),1,0)</f>
        <v>1</v>
      </c>
      <c r="CI546" s="1769"/>
      <c r="CJ546" s="1769"/>
      <c r="CK546" s="1770"/>
    </row>
    <row r="547" spans="1:89" s="4" customFormat="1" ht="12.75" customHeight="1">
      <c r="B547" s="1720"/>
      <c r="C547" s="1720"/>
      <c r="D547" s="1720"/>
      <c r="E547" s="1720"/>
      <c r="F547" s="1720"/>
      <c r="G547" s="1720"/>
      <c r="H547" s="1720"/>
      <c r="I547" s="1720"/>
      <c r="J547" s="1720"/>
      <c r="K547" s="1720"/>
      <c r="L547" s="1720"/>
      <c r="M547" s="1720"/>
      <c r="N547" s="1720"/>
      <c r="O547" s="1720"/>
      <c r="P547" s="1720"/>
      <c r="Q547" s="1720"/>
      <c r="R547" s="1720"/>
      <c r="S547" s="1720"/>
      <c r="T547" s="1720"/>
      <c r="U547" s="1720"/>
      <c r="V547" s="1720"/>
      <c r="W547" s="1720"/>
      <c r="X547" s="1720"/>
      <c r="Y547" s="1720"/>
      <c r="Z547" s="1720"/>
      <c r="AA547" s="1720"/>
      <c r="AB547" s="1720"/>
      <c r="AC547" s="1720"/>
      <c r="AD547" s="1720"/>
      <c r="AE547" s="1720"/>
      <c r="AF547" s="1720"/>
      <c r="AG547" s="1720"/>
      <c r="AH547" s="160"/>
      <c r="AI547" s="160"/>
      <c r="AJ547" s="160"/>
      <c r="AK547" s="161"/>
      <c r="AL547" s="161"/>
      <c r="AM547" s="161"/>
      <c r="AN547" s="279"/>
      <c r="AP547" s="434"/>
      <c r="AQ547" s="435"/>
      <c r="AR547" s="435"/>
      <c r="AS547" s="435"/>
      <c r="AT547" s="435"/>
      <c r="AU547" s="435"/>
      <c r="AV547" s="436"/>
      <c r="AW547" s="435"/>
      <c r="AX547" s="435"/>
      <c r="AY547" s="436"/>
      <c r="BE547" s="1763"/>
      <c r="BF547" s="1767"/>
      <c r="BG547" s="1767"/>
      <c r="BH547" s="1764"/>
      <c r="BI547" s="1763"/>
      <c r="BJ547" s="1767"/>
      <c r="BK547" s="1767"/>
      <c r="BL547" s="1764"/>
      <c r="BM547" s="1763">
        <f>IF(AND(AND(CH548=1,BI546=0,BE545=0)),0,1)</f>
        <v>0</v>
      </c>
      <c r="BN547" s="1767"/>
      <c r="BO547" s="1767"/>
      <c r="BP547" s="1764"/>
      <c r="BQ547" s="1763"/>
      <c r="BR547" s="1767"/>
      <c r="BS547" s="1767"/>
      <c r="BT547" s="1764"/>
      <c r="BU547" s="1768"/>
      <c r="BV547" s="1769"/>
      <c r="BW547" s="1769"/>
      <c r="BX547" s="1770"/>
      <c r="BY547" s="1768"/>
      <c r="BZ547" s="1769"/>
      <c r="CA547" s="1769"/>
      <c r="CB547" s="1770"/>
      <c r="CC547"/>
      <c r="CG547"/>
      <c r="CH547" s="1768">
        <f>IF(OR(Y610=0,Y610&gt;=0.1),1,0)</f>
        <v>1</v>
      </c>
      <c r="CI547" s="1769"/>
      <c r="CJ547" s="1769"/>
      <c r="CK547" s="1770"/>
    </row>
    <row r="548" spans="1:89" s="4" customFormat="1" ht="12.75" customHeight="1">
      <c r="B548" s="1720"/>
      <c r="C548" s="1720"/>
      <c r="D548" s="1720"/>
      <c r="E548" s="1720"/>
      <c r="F548" s="1720"/>
      <c r="G548" s="1720"/>
      <c r="H548" s="1720"/>
      <c r="I548" s="1720"/>
      <c r="J548" s="1720"/>
      <c r="K548" s="1720"/>
      <c r="L548" s="1720"/>
      <c r="M548" s="1720"/>
      <c r="N548" s="1720"/>
      <c r="O548" s="1720"/>
      <c r="P548" s="1720"/>
      <c r="Q548" s="1720"/>
      <c r="R548" s="1720"/>
      <c r="S548" s="1720"/>
      <c r="T548" s="1720"/>
      <c r="U548" s="1720"/>
      <c r="V548" s="1720"/>
      <c r="W548" s="1720"/>
      <c r="X548" s="1720"/>
      <c r="Y548" s="1720"/>
      <c r="Z548" s="1720"/>
      <c r="AA548" s="1720"/>
      <c r="AB548" s="1720"/>
      <c r="AC548" s="1720"/>
      <c r="AD548" s="1720"/>
      <c r="AE548" s="1720"/>
      <c r="AF548" s="1720"/>
      <c r="AG548" s="1720"/>
      <c r="AH548" s="160"/>
      <c r="AI548" s="160"/>
      <c r="AJ548" s="160"/>
      <c r="AK548" s="161"/>
      <c r="AL548" s="161"/>
      <c r="AM548" s="161"/>
      <c r="AN548" s="279"/>
      <c r="AP548" s="1826">
        <f>SUM(T609:X613)</f>
        <v>13</v>
      </c>
      <c r="AQ548" s="1827"/>
      <c r="AR548" s="1827"/>
      <c r="AS548" s="1827"/>
      <c r="AT548" s="1828"/>
      <c r="AU548" s="435"/>
      <c r="AV548" s="436"/>
      <c r="AW548" s="435"/>
      <c r="AX548" s="435"/>
      <c r="AY548" s="436"/>
      <c r="BE548" s="1763"/>
      <c r="BF548" s="1767"/>
      <c r="BG548" s="1767"/>
      <c r="BH548" s="1764"/>
      <c r="BI548" s="1763"/>
      <c r="BJ548" s="1767"/>
      <c r="BK548" s="1767"/>
      <c r="BL548" s="1764"/>
      <c r="BM548" s="1763"/>
      <c r="BN548" s="1767"/>
      <c r="BO548" s="1767"/>
      <c r="BP548" s="1764"/>
      <c r="BQ548" s="1763">
        <f>IF(AND(AND(AND(CH549=1,BM547=0,BI546=0,BE545=0))),0,1)</f>
        <v>0</v>
      </c>
      <c r="BR548" s="1767"/>
      <c r="BS548" s="1767"/>
      <c r="BT548" s="1764"/>
      <c r="BU548" s="1768"/>
      <c r="BV548" s="1769"/>
      <c r="BW548" s="1769"/>
      <c r="BX548" s="1770"/>
      <c r="BY548" s="1768"/>
      <c r="BZ548" s="1769"/>
      <c r="CA548" s="1769"/>
      <c r="CB548" s="1770"/>
      <c r="CC548"/>
      <c r="CG548"/>
      <c r="CH548" s="1768">
        <f>IF(OR(Y611=0,Y611&gt;=0.1),1,0)</f>
        <v>1</v>
      </c>
      <c r="CI548" s="1769"/>
      <c r="CJ548" s="1769"/>
      <c r="CK548" s="1770"/>
    </row>
    <row r="549" spans="1:89" s="4" customFormat="1" ht="12.75" customHeight="1">
      <c r="B549" s="1720"/>
      <c r="C549" s="1720"/>
      <c r="D549" s="1720"/>
      <c r="E549" s="1720"/>
      <c r="F549" s="1720"/>
      <c r="G549" s="1720"/>
      <c r="H549" s="1720"/>
      <c r="I549" s="1720"/>
      <c r="J549" s="1720"/>
      <c r="K549" s="1720"/>
      <c r="L549" s="1720"/>
      <c r="M549" s="1720"/>
      <c r="N549" s="1720"/>
      <c r="O549" s="1720"/>
      <c r="P549" s="1720"/>
      <c r="Q549" s="1720"/>
      <c r="R549" s="1720"/>
      <c r="S549" s="1720"/>
      <c r="T549" s="1720"/>
      <c r="U549" s="1720"/>
      <c r="V549" s="1720"/>
      <c r="W549" s="1720"/>
      <c r="X549" s="1720"/>
      <c r="Y549" s="1720"/>
      <c r="Z549" s="1720"/>
      <c r="AA549" s="1720"/>
      <c r="AB549" s="1720"/>
      <c r="AC549" s="1720"/>
      <c r="AD549" s="1720"/>
      <c r="AE549" s="1720"/>
      <c r="AF549" s="1720"/>
      <c r="AG549" s="1720"/>
      <c r="AH549" s="160"/>
      <c r="AI549" s="160"/>
      <c r="AJ549" s="160"/>
      <c r="AK549" s="161"/>
      <c r="AL549" s="161"/>
      <c r="AM549" s="161"/>
      <c r="AN549" s="279"/>
      <c r="AP549" s="437"/>
      <c r="AQ549" s="438"/>
      <c r="AR549" s="438"/>
      <c r="AS549" s="438"/>
      <c r="AT549" s="439" t="s">
        <v>606</v>
      </c>
      <c r="AU549" s="1771" t="str">
        <f>IF(AP548&gt;=AU546,"passed","failed")</f>
        <v>passed</v>
      </c>
      <c r="AV549" s="1889"/>
      <c r="AW549" s="1772"/>
      <c r="AX549" s="440"/>
      <c r="AY549" s="441"/>
      <c r="BE549" s="1763"/>
      <c r="BF549" s="1767"/>
      <c r="BG549" s="1767"/>
      <c r="BH549" s="1764"/>
      <c r="BI549" s="1763"/>
      <c r="BJ549" s="1767"/>
      <c r="BK549" s="1767"/>
      <c r="BL549" s="1764"/>
      <c r="BM549" s="1763"/>
      <c r="BN549" s="1767"/>
      <c r="BO549" s="1767"/>
      <c r="BP549" s="1764"/>
      <c r="BQ549" s="1763"/>
      <c r="BR549" s="1767"/>
      <c r="BS549" s="1767"/>
      <c r="BT549" s="1764"/>
      <c r="BU549" s="1763">
        <f>IF(AND(AND(AND(AND(CH550=1,BQ548=0,BM547=0,BI546=0,BE545=0)))),0,1)</f>
        <v>0</v>
      </c>
      <c r="BV549" s="1767"/>
      <c r="BW549" s="1767"/>
      <c r="BX549" s="1764"/>
      <c r="BY549" s="1768"/>
      <c r="BZ549" s="1769"/>
      <c r="CA549" s="1769"/>
      <c r="CB549" s="1770"/>
      <c r="CC549"/>
      <c r="CD549"/>
      <c r="CE549"/>
      <c r="CF549"/>
      <c r="CG549"/>
      <c r="CH549" s="1768">
        <f>IF(OR(Y612=0,Y612&gt;=0.1),1,0)</f>
        <v>1</v>
      </c>
      <c r="CI549" s="1769"/>
      <c r="CJ549" s="1769"/>
      <c r="CK549" s="1770"/>
    </row>
    <row r="550" spans="1:89" s="4" customFormat="1" ht="13.7" customHeight="1">
      <c r="B550" s="1720"/>
      <c r="C550" s="1720"/>
      <c r="D550" s="1720"/>
      <c r="E550" s="1720"/>
      <c r="F550" s="1720"/>
      <c r="G550" s="1720"/>
      <c r="H550" s="1720"/>
      <c r="I550" s="1720"/>
      <c r="J550" s="1720"/>
      <c r="K550" s="1720"/>
      <c r="L550" s="1720"/>
      <c r="M550" s="1720"/>
      <c r="N550" s="1720"/>
      <c r="O550" s="1720"/>
      <c r="P550" s="1720"/>
      <c r="Q550" s="1720"/>
      <c r="R550" s="1720"/>
      <c r="S550" s="1720"/>
      <c r="T550" s="1720"/>
      <c r="U550" s="1720"/>
      <c r="V550" s="1720"/>
      <c r="W550" s="1720"/>
      <c r="X550" s="1720"/>
      <c r="Y550" s="1720"/>
      <c r="Z550" s="1720"/>
      <c r="AA550" s="1720"/>
      <c r="AB550" s="1720"/>
      <c r="AC550" s="1720"/>
      <c r="AD550" s="1720"/>
      <c r="AE550" s="1720"/>
      <c r="AF550" s="1720"/>
      <c r="AG550" s="1720"/>
      <c r="AH550" s="160"/>
      <c r="AI550" s="160"/>
      <c r="AJ550" s="160"/>
      <c r="AK550" s="161"/>
      <c r="AL550" s="161"/>
      <c r="AM550" s="161"/>
      <c r="AN550" s="279"/>
      <c r="BE550" s="1763">
        <f>SUM(BE545:BH549)</f>
        <v>0</v>
      </c>
      <c r="BF550" s="1767"/>
      <c r="BG550" s="1767"/>
      <c r="BH550" s="1764"/>
      <c r="BI550" s="1763">
        <f>SUM(BI545:BL549)</f>
        <v>0</v>
      </c>
      <c r="BJ550" s="1767"/>
      <c r="BK550" s="1767"/>
      <c r="BL550" s="1764"/>
      <c r="BM550" s="1763">
        <f>SUM(BM545:BP549)</f>
        <v>0</v>
      </c>
      <c r="BN550" s="1767"/>
      <c r="BO550" s="1767"/>
      <c r="BP550" s="1764"/>
      <c r="BQ550" s="1763">
        <f>SUM(BQ545:BT549)</f>
        <v>0</v>
      </c>
      <c r="BR550" s="1767"/>
      <c r="BS550" s="1767"/>
      <c r="BT550" s="1764"/>
      <c r="BU550" s="1763">
        <f>SUM(BU545:BX549)</f>
        <v>0</v>
      </c>
      <c r="BV550" s="1767"/>
      <c r="BW550" s="1767"/>
      <c r="BX550" s="1764"/>
      <c r="BY550" s="1763">
        <f>SUM(BY545:CB549)</f>
        <v>0</v>
      </c>
      <c r="BZ550" s="1767"/>
      <c r="CA550" s="1767"/>
      <c r="CB550" s="1764"/>
      <c r="CC550" s="1768">
        <f>IF(AND(CH546=1,T609&gt;0),0,SUM(BE550:CB550))</f>
        <v>0</v>
      </c>
      <c r="CD550" s="1769"/>
      <c r="CE550" s="1769"/>
      <c r="CF550" s="1770"/>
      <c r="CG550"/>
      <c r="CH550" s="1768">
        <f>IF(OR(Y613=0,Y613&gt;=0.1),1,0)</f>
        <v>1</v>
      </c>
      <c r="CI550" s="1769"/>
      <c r="CJ550" s="1769"/>
      <c r="CK550" s="1770"/>
    </row>
    <row r="551" spans="1:89" s="4" customFormat="1" ht="12.4" customHeight="1">
      <c r="B551" s="1893" t="s">
        <v>1497</v>
      </c>
      <c r="C551" s="1893"/>
      <c r="D551" s="1893"/>
      <c r="E551" s="1893"/>
      <c r="F551" s="1893"/>
      <c r="G551" s="1893"/>
      <c r="H551" s="1893"/>
      <c r="I551" s="1893"/>
      <c r="J551" s="1893"/>
      <c r="K551" s="1893"/>
      <c r="L551" s="1893"/>
      <c r="M551" s="1893"/>
      <c r="N551" s="1893"/>
      <c r="O551" s="1893"/>
      <c r="P551" s="1893"/>
      <c r="Q551" s="1893"/>
      <c r="R551" s="1893"/>
      <c r="S551" s="1893"/>
      <c r="T551" s="1893"/>
      <c r="U551" s="1893"/>
      <c r="V551" s="1893"/>
      <c r="W551" s="1893"/>
      <c r="X551" s="1893"/>
      <c r="Y551" s="1893"/>
      <c r="Z551" s="1893"/>
      <c r="AA551" s="1893"/>
      <c r="AB551" s="1893"/>
      <c r="AC551" s="1893"/>
      <c r="AD551" s="1893"/>
      <c r="AE551" s="1893"/>
      <c r="AF551" s="1893"/>
      <c r="AG551" s="1893"/>
      <c r="AH551" s="160"/>
      <c r="AI551" s="160"/>
      <c r="AJ551" s="160"/>
      <c r="AK551" s="161"/>
      <c r="AL551" s="161"/>
      <c r="AM551" s="161"/>
      <c r="AN551" s="279"/>
    </row>
    <row r="552" spans="1:89" s="4" customFormat="1" ht="21" customHeight="1">
      <c r="B552" s="1893"/>
      <c r="C552" s="1893"/>
      <c r="D552" s="1893"/>
      <c r="E552" s="1893"/>
      <c r="F552" s="1893"/>
      <c r="G552" s="1893"/>
      <c r="H552" s="1893"/>
      <c r="I552" s="1893"/>
      <c r="J552" s="1893"/>
      <c r="K552" s="1893"/>
      <c r="L552" s="1893"/>
      <c r="M552" s="1893"/>
      <c r="N552" s="1893"/>
      <c r="O552" s="1893"/>
      <c r="P552" s="1893"/>
      <c r="Q552" s="1893"/>
      <c r="R552" s="1893"/>
      <c r="S552" s="1893"/>
      <c r="T552" s="1893"/>
      <c r="U552" s="1893"/>
      <c r="V552" s="1893"/>
      <c r="W552" s="1893"/>
      <c r="X552" s="1893"/>
      <c r="Y552" s="1893"/>
      <c r="Z552" s="1893"/>
      <c r="AA552" s="1893"/>
      <c r="AB552" s="1893"/>
      <c r="AC552" s="1893"/>
      <c r="AD552" s="1893"/>
      <c r="AE552" s="1893"/>
      <c r="AF552" s="1893"/>
      <c r="AG552" s="1893"/>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893" t="s">
        <v>1750</v>
      </c>
      <c r="C553" s="1893"/>
      <c r="D553" s="1893"/>
      <c r="E553" s="1893"/>
      <c r="F553" s="1893"/>
      <c r="G553" s="1893"/>
      <c r="H553" s="1893"/>
      <c r="I553" s="1893"/>
      <c r="J553" s="1893"/>
      <c r="K553" s="1893"/>
      <c r="L553" s="1893"/>
      <c r="M553" s="1893"/>
      <c r="N553" s="1893"/>
      <c r="O553" s="1893"/>
      <c r="P553" s="1893"/>
      <c r="Q553" s="1893"/>
      <c r="R553" s="1893"/>
      <c r="S553" s="1893"/>
      <c r="T553" s="1893"/>
      <c r="U553" s="1893"/>
      <c r="V553" s="1893"/>
      <c r="W553" s="1893"/>
      <c r="X553" s="1893"/>
      <c r="Y553" s="1893"/>
      <c r="Z553" s="1893"/>
      <c r="AA553" s="1893"/>
      <c r="AB553" s="1893"/>
      <c r="AC553" s="1893"/>
      <c r="AD553" s="1893"/>
      <c r="AE553" s="1893"/>
      <c r="AF553" s="1893"/>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893"/>
      <c r="C554" s="1893"/>
      <c r="D554" s="1893"/>
      <c r="E554" s="1893"/>
      <c r="F554" s="1893"/>
      <c r="G554" s="1893"/>
      <c r="H554" s="1893"/>
      <c r="I554" s="1893"/>
      <c r="J554" s="1893"/>
      <c r="K554" s="1893"/>
      <c r="L554" s="1893"/>
      <c r="M554" s="1893"/>
      <c r="N554" s="1893"/>
      <c r="O554" s="1893"/>
      <c r="P554" s="1893"/>
      <c r="Q554" s="1893"/>
      <c r="R554" s="1893"/>
      <c r="S554" s="1893"/>
      <c r="T554" s="1893"/>
      <c r="U554" s="1893"/>
      <c r="V554" s="1893"/>
      <c r="W554" s="1893"/>
      <c r="X554" s="1893"/>
      <c r="Y554" s="1893"/>
      <c r="Z554" s="1893"/>
      <c r="AA554" s="1893"/>
      <c r="AB554" s="1893"/>
      <c r="AC554" s="1893"/>
      <c r="AD554" s="1893"/>
      <c r="AE554" s="1893"/>
      <c r="AF554" s="1893"/>
      <c r="AG554" s="160"/>
      <c r="AH554" s="160"/>
      <c r="AI554" s="160"/>
      <c r="AJ554" s="160"/>
      <c r="AK554" s="161"/>
      <c r="AL554" s="161"/>
      <c r="AM554" s="161"/>
      <c r="AN554" s="279"/>
      <c r="AP554" s="148"/>
      <c r="AQ554" s="149"/>
      <c r="AR554" s="149"/>
      <c r="AS554" s="149"/>
      <c r="AT554" s="155" t="s">
        <v>606</v>
      </c>
      <c r="AU554" s="149"/>
      <c r="AV554" s="1763" t="str">
        <f>IF(BJ590&gt;0,"failed","passed")</f>
        <v>failed</v>
      </c>
      <c r="AW554" s="1767"/>
      <c r="AX554" s="1767"/>
      <c r="AY554" s="1764"/>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27" t="s">
        <v>1498</v>
      </c>
      <c r="R557" s="1727"/>
      <c r="S557" s="1727"/>
      <c r="T557" s="1727"/>
      <c r="U557" s="1727"/>
      <c r="V557" s="1727"/>
      <c r="W557" s="1727"/>
      <c r="X557" s="1727"/>
      <c r="Y557" s="1727"/>
      <c r="Z557" s="1727"/>
      <c r="AA557" s="1727"/>
      <c r="AB557" s="1727"/>
      <c r="AC557" s="1727"/>
      <c r="AD557" s="1727"/>
      <c r="AE557" s="1727"/>
      <c r="AF557" s="1727"/>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27"/>
      <c r="R558" s="1727"/>
      <c r="S558" s="1727"/>
      <c r="T558" s="1727"/>
      <c r="U558" s="1727"/>
      <c r="V558" s="1727"/>
      <c r="W558" s="1727"/>
      <c r="X558" s="1727"/>
      <c r="Y558" s="1727"/>
      <c r="Z558" s="1727"/>
      <c r="AA558" s="1727"/>
      <c r="AB558" s="1727"/>
      <c r="AC558" s="1727"/>
      <c r="AD558" s="1727"/>
      <c r="AE558" s="1727"/>
      <c r="AF558" s="1727"/>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17" t="s">
        <v>1749</v>
      </c>
      <c r="R559" s="1718"/>
      <c r="S559" s="1735" t="s">
        <v>204</v>
      </c>
      <c r="T559" s="1735"/>
      <c r="U559" s="1717">
        <v>0.5</v>
      </c>
      <c r="V559" s="1718"/>
      <c r="W559" s="1717">
        <v>0.45</v>
      </c>
      <c r="X559" s="1718"/>
      <c r="Y559" s="1717">
        <v>0.4</v>
      </c>
      <c r="Z559" s="1718"/>
      <c r="AA559" s="1717">
        <v>0.35</v>
      </c>
      <c r="AB559" s="1718"/>
      <c r="AC559" s="1887">
        <v>0.3</v>
      </c>
      <c r="AD559" s="1888"/>
      <c r="AE559" s="1717">
        <v>0.2</v>
      </c>
      <c r="AF559" s="1718"/>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703"/>
      <c r="P560" s="1704"/>
      <c r="Q560" s="1726"/>
      <c r="R560" s="1725"/>
      <c r="S560" s="1900"/>
      <c r="T560" s="1900"/>
      <c r="U560" s="1725"/>
      <c r="V560" s="1725"/>
      <c r="W560" s="1725"/>
      <c r="X560" s="1725"/>
      <c r="Y560" s="1725"/>
      <c r="Z560" s="1725"/>
      <c r="AA560" s="1896"/>
      <c r="AB560" s="1896"/>
      <c r="AC560" s="1725"/>
      <c r="AD560" s="1725"/>
      <c r="AE560" s="1885"/>
      <c r="AF560" s="1886"/>
      <c r="AN560" s="279"/>
      <c r="AP560" s="142" t="s">
        <v>713</v>
      </c>
      <c r="AQ560" s="9"/>
      <c r="AR560" s="9"/>
      <c r="AS560" s="9"/>
      <c r="AT560" s="1768" t="str">
        <f>IF(OR(AV554="passed",BD558="passed"),"passed","failed")</f>
        <v>passed</v>
      </c>
      <c r="AU560" s="1769"/>
      <c r="AV560" s="1769"/>
      <c r="AW560" s="1769"/>
      <c r="AX560" s="1770"/>
    </row>
    <row r="561" spans="1:96" s="4" customFormat="1" ht="12.75" customHeight="1">
      <c r="B561" s="63"/>
      <c r="I561" s="218"/>
      <c r="J561" s="160"/>
      <c r="N561" s="5"/>
      <c r="O561" s="1703"/>
      <c r="P561" s="1704"/>
      <c r="Q561" s="1722"/>
      <c r="R561" s="1721"/>
      <c r="S561" s="1721"/>
      <c r="T561" s="1721"/>
      <c r="U561" s="1721"/>
      <c r="V561" s="1721"/>
      <c r="W561" s="1721"/>
      <c r="X561" s="1721"/>
      <c r="Y561" s="1719"/>
      <c r="Z561" s="1719"/>
      <c r="AA561" s="1721"/>
      <c r="AB561" s="1721"/>
      <c r="AC561" s="1719"/>
      <c r="AD561" s="1719"/>
      <c r="AE561" s="1723"/>
      <c r="AF561" s="1724"/>
      <c r="AN561" s="279"/>
      <c r="AP561"/>
      <c r="AQ561"/>
      <c r="AR561"/>
      <c r="AS561"/>
      <c r="AT561"/>
      <c r="AU561"/>
      <c r="AV561"/>
      <c r="AW561"/>
      <c r="AX561"/>
      <c r="AY561"/>
    </row>
    <row r="562" spans="1:96" s="4" customFormat="1" ht="12.75" customHeight="1">
      <c r="B562" s="63"/>
      <c r="I562" s="218"/>
      <c r="J562" s="160"/>
      <c r="N562" s="5"/>
      <c r="O562" s="1703"/>
      <c r="P562" s="1704"/>
      <c r="Q562" s="1722"/>
      <c r="R562" s="1721"/>
      <c r="S562" s="1721"/>
      <c r="T562" s="1721"/>
      <c r="U562" s="1721"/>
      <c r="V562" s="1721"/>
      <c r="W562" s="1721"/>
      <c r="X562" s="1721"/>
      <c r="Y562" s="1721"/>
      <c r="Z562" s="1721"/>
      <c r="AA562" s="1719"/>
      <c r="AB562" s="1719"/>
      <c r="AC562" s="1721"/>
      <c r="AD562" s="1721"/>
      <c r="AE562" s="1853"/>
      <c r="AF562" s="1854"/>
      <c r="AN562" s="279"/>
      <c r="AP562" s="151" t="s">
        <v>607</v>
      </c>
      <c r="AQ562" s="152"/>
      <c r="AR562" s="152"/>
      <c r="AS562" s="152"/>
      <c r="AT562" s="152"/>
      <c r="AU562" s="152"/>
      <c r="AV562" s="153"/>
      <c r="AW562" s="1890" t="str">
        <f>IF(AND(AND(AND(AND(AS542="passed",AU549="passed",BD558="passed",SUM(T609:X613)&gt;1)))),"YES","NO")</f>
        <v>YES</v>
      </c>
      <c r="AX562" s="1891"/>
      <c r="AY562" s="1892"/>
      <c r="AZ562" s="40"/>
      <c r="BA562" s="40"/>
      <c r="BB562" s="40"/>
      <c r="BC562" s="40"/>
      <c r="BD562" s="40"/>
      <c r="BE562" s="21"/>
      <c r="BF562" s="21"/>
      <c r="BG562" s="21"/>
    </row>
    <row r="563" spans="1:96" s="4" customFormat="1" ht="12.75" customHeight="1">
      <c r="B563" s="63"/>
      <c r="I563" s="218"/>
      <c r="J563" s="160"/>
      <c r="N563" s="5"/>
      <c r="O563" s="1703"/>
      <c r="P563" s="1704"/>
      <c r="Q563" s="1722"/>
      <c r="R563" s="1721"/>
      <c r="S563" s="1721"/>
      <c r="T563" s="1721"/>
      <c r="U563" s="1721"/>
      <c r="V563" s="1721"/>
      <c r="W563" s="1721"/>
      <c r="X563" s="1721"/>
      <c r="Y563" s="1719"/>
      <c r="Z563" s="1719"/>
      <c r="AA563" s="1721"/>
      <c r="AB563" s="1721"/>
      <c r="AC563" s="1719"/>
      <c r="AD563" s="1719"/>
      <c r="AE563" s="1723"/>
      <c r="AF563" s="1724"/>
      <c r="AN563" s="279"/>
    </row>
    <row r="564" spans="1:96" s="4" customFormat="1" ht="12.75" customHeight="1">
      <c r="B564" s="63"/>
      <c r="I564" s="218"/>
      <c r="J564" s="160"/>
      <c r="N564" s="5"/>
      <c r="O564" s="1703"/>
      <c r="P564" s="1704"/>
      <c r="Q564" s="1722"/>
      <c r="R564" s="1721"/>
      <c r="S564" s="1721"/>
      <c r="T564" s="1721"/>
      <c r="U564" s="1721"/>
      <c r="V564" s="1721"/>
      <c r="W564" s="1719"/>
      <c r="X564" s="1719"/>
      <c r="Y564" s="1721"/>
      <c r="Z564" s="1721"/>
      <c r="AA564" s="1719"/>
      <c r="AB564" s="1719"/>
      <c r="AC564" s="1721"/>
      <c r="AD564" s="1721"/>
      <c r="AE564" s="1853"/>
      <c r="AF564" s="1854"/>
      <c r="AN564" s="279"/>
    </row>
    <row r="565" spans="1:96" s="4" customFormat="1" ht="12.75" customHeight="1">
      <c r="B565" s="63"/>
      <c r="I565" s="218"/>
      <c r="J565" s="160"/>
      <c r="N565" s="5"/>
      <c r="O565" s="1703"/>
      <c r="P565" s="1704"/>
      <c r="Q565" s="1722"/>
      <c r="R565" s="1721"/>
      <c r="S565" s="1721"/>
      <c r="T565" s="1721"/>
      <c r="U565" s="1721"/>
      <c r="V565" s="1721"/>
      <c r="W565" s="1721"/>
      <c r="X565" s="1721"/>
      <c r="Y565" s="1719"/>
      <c r="Z565" s="1719"/>
      <c r="AA565" s="1721"/>
      <c r="AB565" s="1721"/>
      <c r="AC565" s="1719"/>
      <c r="AD565" s="1719"/>
      <c r="AE565" s="1723"/>
      <c r="AF565" s="1724"/>
      <c r="AN565" s="279"/>
      <c r="AU565" s="21"/>
      <c r="AV565" s="21"/>
      <c r="AW565" s="8"/>
      <c r="AX565" s="9"/>
      <c r="AY565" s="9"/>
      <c r="AZ565" s="60" t="s">
        <v>1126</v>
      </c>
      <c r="BA565" s="1872" t="s">
        <v>714</v>
      </c>
      <c r="BB565" s="1873"/>
      <c r="BC565" s="1873"/>
      <c r="BD565" s="1873"/>
      <c r="BE565" s="1874"/>
      <c r="BF565" s="1897">
        <f>SUM(O609:S613)</f>
        <v>49</v>
      </c>
      <c r="BG565" s="1898"/>
      <c r="BH565" s="1898"/>
      <c r="BI565" s="1898"/>
      <c r="BJ565" s="1899"/>
      <c r="BK565" s="1708">
        <f>SUM(T609:X613)</f>
        <v>13</v>
      </c>
      <c r="BL565" s="1709"/>
      <c r="BM565" s="1709"/>
      <c r="BN565" s="1709"/>
      <c r="BO565" s="1710"/>
    </row>
    <row r="566" spans="1:96" s="4" customFormat="1" ht="12.75" customHeight="1">
      <c r="B566" s="35"/>
      <c r="I566" s="1548" t="s">
        <v>1496</v>
      </c>
      <c r="J566" s="1549"/>
      <c r="K566" s="1549"/>
      <c r="L566" s="1549"/>
      <c r="M566" s="1549"/>
      <c r="N566" s="1550"/>
      <c r="O566" s="1703">
        <v>0.5</v>
      </c>
      <c r="P566" s="1704"/>
      <c r="Q566" s="1937"/>
      <c r="R566" s="1728"/>
      <c r="S566" s="1721"/>
      <c r="T566" s="1721"/>
      <c r="U566" s="1734" t="s">
        <v>1500</v>
      </c>
      <c r="V566" s="1734"/>
      <c r="W566" s="1939">
        <v>37.5</v>
      </c>
      <c r="X566" s="1939"/>
      <c r="Y566" s="1728"/>
      <c r="Z566" s="1728"/>
      <c r="AA566" s="1939"/>
      <c r="AB566" s="1939"/>
      <c r="AC566" s="1728"/>
      <c r="AD566" s="1728"/>
      <c r="AE566" s="1894"/>
      <c r="AF566" s="1895"/>
      <c r="AN566" s="279"/>
      <c r="CL566"/>
      <c r="CM566"/>
    </row>
    <row r="567" spans="1:96" s="4" customFormat="1" ht="12.75" customHeight="1">
      <c r="B567" s="118"/>
      <c r="C567" s="61"/>
      <c r="I567" s="1548"/>
      <c r="J567" s="1549"/>
      <c r="K567" s="1549"/>
      <c r="L567" s="1549"/>
      <c r="M567" s="1549"/>
      <c r="N567" s="1550"/>
      <c r="O567" s="1703">
        <v>0.45</v>
      </c>
      <c r="P567" s="1704"/>
      <c r="Q567" s="1722"/>
      <c r="R567" s="1721"/>
      <c r="S567" s="1721"/>
      <c r="T567" s="1721"/>
      <c r="U567" s="1783" t="s">
        <v>130</v>
      </c>
      <c r="V567" s="1783"/>
      <c r="W567" s="1719">
        <v>33.799999999999997</v>
      </c>
      <c r="X567" s="1719"/>
      <c r="Y567" s="1719"/>
      <c r="Z567" s="1719"/>
      <c r="AA567" s="1721"/>
      <c r="AB567" s="1721"/>
      <c r="AC567" s="1719"/>
      <c r="AD567" s="1719"/>
      <c r="AE567" s="1723"/>
      <c r="AF567" s="1724"/>
      <c r="AN567" s="279"/>
      <c r="CL567"/>
      <c r="CM567"/>
    </row>
    <row r="568" spans="1:96" s="4" customFormat="1" ht="12.75" customHeight="1">
      <c r="B568" s="5"/>
      <c r="C568" s="5"/>
      <c r="D568" s="5"/>
      <c r="E568" s="5"/>
      <c r="I568" s="1548"/>
      <c r="J568" s="1549"/>
      <c r="K568" s="1549"/>
      <c r="L568" s="1549"/>
      <c r="M568" s="1549"/>
      <c r="N568" s="1550"/>
      <c r="O568" s="1703">
        <v>0.4</v>
      </c>
      <c r="P568" s="1704"/>
      <c r="Q568" s="1722"/>
      <c r="R568" s="1721"/>
      <c r="S568" s="1783" t="s">
        <v>1499</v>
      </c>
      <c r="T568" s="1783"/>
      <c r="U568" s="1719">
        <v>20</v>
      </c>
      <c r="V568" s="1719"/>
      <c r="W568" s="1719">
        <v>30</v>
      </c>
      <c r="X568" s="1719"/>
      <c r="Y568" s="1719"/>
      <c r="Z568" s="1719"/>
      <c r="AA568" s="1719"/>
      <c r="AB568" s="1719"/>
      <c r="AC568" s="1719"/>
      <c r="AD568" s="1719"/>
      <c r="AE568" s="1723"/>
      <c r="AF568" s="1724"/>
      <c r="AN568" s="279"/>
      <c r="AP568" s="1801" t="s">
        <v>205</v>
      </c>
      <c r="AQ568" s="1802"/>
      <c r="AR568" s="1802"/>
      <c r="AS568" s="1802"/>
      <c r="AT568" s="1802"/>
      <c r="AU568" s="1802"/>
      <c r="AV568" s="1802"/>
      <c r="AW568" s="1802"/>
      <c r="AX568" s="1802"/>
      <c r="AY568" s="1802"/>
      <c r="AZ568" s="1802"/>
      <c r="BA568" s="1802"/>
      <c r="BB568" s="1802"/>
      <c r="BC568" s="1802"/>
      <c r="BD568" s="1802"/>
      <c r="BE568" s="1802"/>
      <c r="BF568" s="1802"/>
      <c r="BG568" s="1802"/>
      <c r="BH568" s="1802"/>
      <c r="BI568" s="1802"/>
      <c r="BJ568" s="1803"/>
      <c r="BK568" s="1879">
        <f>BF565</f>
        <v>49</v>
      </c>
      <c r="BL568" s="1880"/>
      <c r="BM568" s="1880"/>
      <c r="BN568" s="1880"/>
      <c r="BO568" s="188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48"/>
      <c r="J569" s="1549"/>
      <c r="K569" s="1549"/>
      <c r="L569" s="1549"/>
      <c r="M569" s="1549"/>
      <c r="N569" s="1550"/>
      <c r="O569" s="1703">
        <v>0.35</v>
      </c>
      <c r="P569" s="1704"/>
      <c r="Q569" s="1722"/>
      <c r="R569" s="1721"/>
      <c r="S569" s="1783" t="s">
        <v>1751</v>
      </c>
      <c r="T569" s="1783"/>
      <c r="U569" s="1719">
        <v>17.5</v>
      </c>
      <c r="V569" s="1719"/>
      <c r="W569" s="1719">
        <v>26.3</v>
      </c>
      <c r="X569" s="1719"/>
      <c r="Y569" s="1719">
        <v>35</v>
      </c>
      <c r="Z569" s="1719"/>
      <c r="AA569" s="1719"/>
      <c r="AB569" s="1719"/>
      <c r="AC569" s="1719">
        <v>50</v>
      </c>
      <c r="AD569" s="1719"/>
      <c r="AE569" s="1723"/>
      <c r="AF569" s="1724"/>
      <c r="AN569" s="279"/>
      <c r="AP569" s="1804"/>
      <c r="AQ569" s="1805"/>
      <c r="AR569" s="1805"/>
      <c r="AS569" s="1805"/>
      <c r="AT569" s="1805"/>
      <c r="AU569" s="1805"/>
      <c r="AV569" s="1805"/>
      <c r="AW569" s="1805"/>
      <c r="AX569" s="1805"/>
      <c r="AY569" s="1805"/>
      <c r="AZ569" s="1805"/>
      <c r="BA569" s="1805"/>
      <c r="BB569" s="1805"/>
      <c r="BC569" s="1805"/>
      <c r="BD569" s="1805"/>
      <c r="BE569" s="1805"/>
      <c r="BF569" s="1805"/>
      <c r="BG569" s="1805"/>
      <c r="BH569" s="1805"/>
      <c r="BI569" s="1805"/>
      <c r="BJ569" s="1806"/>
      <c r="BK569" s="1882"/>
      <c r="BL569" s="1883"/>
      <c r="BM569" s="1883"/>
      <c r="BN569" s="1883"/>
      <c r="BO569" s="188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48"/>
      <c r="J570" s="1549"/>
      <c r="K570" s="1549"/>
      <c r="L570" s="1549"/>
      <c r="M570" s="1549"/>
      <c r="N570" s="1550"/>
      <c r="O570" s="1703">
        <v>0.3</v>
      </c>
      <c r="P570" s="1704"/>
      <c r="Q570" s="1722"/>
      <c r="R570" s="1721"/>
      <c r="S570" s="1783" t="s">
        <v>1752</v>
      </c>
      <c r="T570" s="1783"/>
      <c r="U570" s="1719">
        <v>15</v>
      </c>
      <c r="V570" s="1719"/>
      <c r="W570" s="1719">
        <v>22.5</v>
      </c>
      <c r="X570" s="1719"/>
      <c r="Y570" s="1719">
        <v>30</v>
      </c>
      <c r="Z570" s="1719"/>
      <c r="AA570" s="1719">
        <v>37.5</v>
      </c>
      <c r="AB570" s="1719"/>
      <c r="AC570" s="1719">
        <v>45</v>
      </c>
      <c r="AD570" s="1719"/>
      <c r="AE570" s="1723"/>
      <c r="AF570" s="1724"/>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2">
        <v>5</v>
      </c>
      <c r="BK570" s="1273"/>
      <c r="BL570" s="1273"/>
      <c r="BM570" s="1273"/>
      <c r="BN570" s="1274"/>
      <c r="BO570" s="1272">
        <v>4</v>
      </c>
      <c r="BP570" s="1273"/>
      <c r="BQ570" s="1273"/>
      <c r="BR570" s="1273"/>
      <c r="BS570" s="1274"/>
      <c r="BT570" s="1272">
        <v>3</v>
      </c>
      <c r="BU570" s="1273"/>
      <c r="BV570" s="1273"/>
      <c r="BW570" s="1273"/>
      <c r="BX570" s="1274"/>
      <c r="BY570" s="1272">
        <v>2</v>
      </c>
      <c r="BZ570" s="1273"/>
      <c r="CA570" s="1273"/>
      <c r="CB570" s="1273"/>
      <c r="CC570" s="1274"/>
      <c r="CD570" s="1272">
        <v>1</v>
      </c>
      <c r="CE570" s="1273"/>
      <c r="CF570" s="1273"/>
      <c r="CG570" s="1273"/>
      <c r="CH570" s="1274"/>
      <c r="CI570" s="1272">
        <v>0</v>
      </c>
      <c r="CJ570" s="1273"/>
      <c r="CK570" s="1273"/>
      <c r="CL570" s="1273"/>
      <c r="CM570" s="1274"/>
      <c r="CN570" s="21"/>
      <c r="CO570" s="21"/>
      <c r="CP570" s="21"/>
      <c r="CQ570" s="21"/>
      <c r="CR570" s="21"/>
    </row>
    <row r="571" spans="1:96" s="4" customFormat="1" ht="12.75" customHeight="1">
      <c r="B571" s="5"/>
      <c r="C571" s="5"/>
      <c r="D571" s="5"/>
      <c r="E571" s="5"/>
      <c r="I571" s="1548"/>
      <c r="J571" s="1549"/>
      <c r="K571" s="1549"/>
      <c r="L571" s="1549"/>
      <c r="M571" s="1549"/>
      <c r="N571" s="1550"/>
      <c r="O571" s="1703">
        <v>0.25</v>
      </c>
      <c r="P571" s="1704"/>
      <c r="Q571" s="1722"/>
      <c r="R571" s="1721"/>
      <c r="S571" s="1783" t="s">
        <v>1753</v>
      </c>
      <c r="T571" s="1783"/>
      <c r="U571" s="1719">
        <v>12.5</v>
      </c>
      <c r="V571" s="1719"/>
      <c r="W571" s="1719">
        <v>18.8</v>
      </c>
      <c r="X571" s="1719"/>
      <c r="Y571" s="1719">
        <v>25</v>
      </c>
      <c r="Z571" s="1719"/>
      <c r="AA571" s="1719">
        <v>31.3</v>
      </c>
      <c r="AB571" s="1719"/>
      <c r="AC571" s="1719">
        <v>37.5</v>
      </c>
      <c r="AD571" s="1719"/>
      <c r="AE571" s="1723">
        <v>50</v>
      </c>
      <c r="AF571" s="1724"/>
      <c r="AN571" s="279"/>
      <c r="AP571" s="1875" t="str">
        <f t="shared" ref="AP571:AP577" si="0">J608</f>
        <v>5 BR</v>
      </c>
      <c r="AQ571" s="1876"/>
      <c r="AR571" s="1876"/>
      <c r="AS571" s="1876"/>
      <c r="AT571" s="1877"/>
      <c r="AU571" s="1476">
        <f t="shared" ref="AU571:AU576" si="1">O608</f>
        <v>0</v>
      </c>
      <c r="AV571" s="1477"/>
      <c r="AW571" s="1477"/>
      <c r="AX571" s="1477"/>
      <c r="AY571" s="1478"/>
      <c r="AZ571" s="1476">
        <f t="shared" ref="AZ571:AZ576" si="2">T608</f>
        <v>0</v>
      </c>
      <c r="BA571" s="1477"/>
      <c r="BB571" s="1477"/>
      <c r="BC571" s="1477"/>
      <c r="BD571" s="1478"/>
      <c r="BE571" s="1869">
        <f t="shared" ref="BE571:BE576" si="3">Y608</f>
        <v>0</v>
      </c>
      <c r="BF571" s="1870"/>
      <c r="BG571" s="1870"/>
      <c r="BH571" s="1870"/>
      <c r="BI571" s="1871"/>
      <c r="BJ571" s="1272">
        <f>IF(OR(AP581=0,BE571&gt;=0.1),0,1)</f>
        <v>0</v>
      </c>
      <c r="BK571" s="1273"/>
      <c r="BL571" s="1273"/>
      <c r="BM571" s="1273"/>
      <c r="BN571" s="1274"/>
      <c r="BO571" s="1272"/>
      <c r="BP571" s="1273"/>
      <c r="BQ571" s="1273"/>
      <c r="BR571" s="1273"/>
      <c r="BS571" s="1274"/>
      <c r="BT571" s="1272"/>
      <c r="BU571" s="1273"/>
      <c r="BV571" s="1273"/>
      <c r="BW571" s="1273"/>
      <c r="BX571" s="1274"/>
      <c r="BY571" s="1272"/>
      <c r="BZ571" s="1273"/>
      <c r="CA571" s="1273"/>
      <c r="CB571" s="1273"/>
      <c r="CC571" s="1274"/>
      <c r="CD571" s="1272"/>
      <c r="CE571" s="1273"/>
      <c r="CF571" s="1273"/>
      <c r="CG571" s="1273"/>
      <c r="CH571" s="1274"/>
      <c r="CI571" s="1272"/>
      <c r="CJ571" s="1273"/>
      <c r="CK571" s="1273"/>
      <c r="CL571" s="1273"/>
      <c r="CM571" s="1274"/>
      <c r="CN571" s="21"/>
      <c r="CO571" s="21"/>
      <c r="CP571" s="21"/>
      <c r="CQ571" s="21"/>
      <c r="CR571" s="21"/>
    </row>
    <row r="572" spans="1:96" s="4" customFormat="1" ht="12.75" customHeight="1">
      <c r="A572" s="118"/>
      <c r="B572" s="5"/>
      <c r="C572" s="5"/>
      <c r="D572" s="5"/>
      <c r="E572" s="5"/>
      <c r="I572" s="1548"/>
      <c r="J572" s="1549"/>
      <c r="K572" s="1549"/>
      <c r="L572" s="1549"/>
      <c r="M572" s="1549"/>
      <c r="N572" s="1550"/>
      <c r="O572" s="1703">
        <v>0.2</v>
      </c>
      <c r="P572" s="1704"/>
      <c r="Q572" s="1722"/>
      <c r="R572" s="1721"/>
      <c r="S572" s="1834" t="s">
        <v>1756</v>
      </c>
      <c r="T572" s="1834"/>
      <c r="U572" s="1719">
        <v>10</v>
      </c>
      <c r="V572" s="1719"/>
      <c r="W572" s="1719">
        <v>15</v>
      </c>
      <c r="X572" s="1719"/>
      <c r="Y572" s="1719">
        <v>20</v>
      </c>
      <c r="Z572" s="1719"/>
      <c r="AA572" s="1719">
        <v>25</v>
      </c>
      <c r="AB572" s="1719"/>
      <c r="AC572" s="1719">
        <v>30</v>
      </c>
      <c r="AD572" s="1719"/>
      <c r="AE572" s="1723">
        <v>40</v>
      </c>
      <c r="AF572" s="1724"/>
      <c r="AN572" s="279"/>
      <c r="AP572" s="1875" t="str">
        <f t="shared" si="0"/>
        <v>4 BR</v>
      </c>
      <c r="AQ572" s="1876"/>
      <c r="AR572" s="1876"/>
      <c r="AS572" s="1876"/>
      <c r="AT572" s="1877"/>
      <c r="AU572" s="1476">
        <f t="shared" si="1"/>
        <v>0</v>
      </c>
      <c r="AV572" s="1477"/>
      <c r="AW572" s="1477"/>
      <c r="AX572" s="1477"/>
      <c r="AY572" s="1478"/>
      <c r="AZ572" s="1476">
        <f t="shared" si="2"/>
        <v>0</v>
      </c>
      <c r="BA572" s="1477"/>
      <c r="BB572" s="1477"/>
      <c r="BC572" s="1477"/>
      <c r="BD572" s="1478"/>
      <c r="BE572" s="1869">
        <f t="shared" si="3"/>
        <v>0</v>
      </c>
      <c r="BF572" s="1870"/>
      <c r="BG572" s="1870"/>
      <c r="BH572" s="1870"/>
      <c r="BI572" s="1871"/>
      <c r="BJ572" s="1272"/>
      <c r="BK572" s="1273"/>
      <c r="BL572" s="1273"/>
      <c r="BM572" s="1273"/>
      <c r="BN572" s="1274"/>
      <c r="BO572" s="1272">
        <f>IF(AND(AND(AZ571=0,BJ571=0,AP582=1)),1,0)</f>
        <v>0</v>
      </c>
      <c r="BP572" s="1273"/>
      <c r="BQ572" s="1273"/>
      <c r="BR572" s="1273"/>
      <c r="BS572" s="1274"/>
      <c r="BT572" s="1272"/>
      <c r="BU572" s="1273"/>
      <c r="BV572" s="1273"/>
      <c r="BW572" s="1273"/>
      <c r="BX572" s="1274"/>
      <c r="BY572" s="1272"/>
      <c r="BZ572" s="1273"/>
      <c r="CA572" s="1273"/>
      <c r="CB572" s="1273"/>
      <c r="CC572" s="1274"/>
      <c r="CD572" s="1272"/>
      <c r="CE572" s="1273"/>
      <c r="CF572" s="1273"/>
      <c r="CG572" s="1273"/>
      <c r="CH572" s="1274"/>
      <c r="CI572" s="1272"/>
      <c r="CJ572" s="1273"/>
      <c r="CK572" s="1273"/>
      <c r="CL572" s="1273"/>
      <c r="CM572" s="1274"/>
      <c r="CN572" s="21"/>
      <c r="CO572" s="21"/>
      <c r="CP572" s="21"/>
      <c r="CQ572" s="21"/>
      <c r="CR572" s="21"/>
    </row>
    <row r="573" spans="1:96" s="4" customFormat="1" ht="12.75" customHeight="1">
      <c r="A573" s="118"/>
      <c r="B573" s="5"/>
      <c r="C573" s="5"/>
      <c r="D573" s="5"/>
      <c r="E573" s="5"/>
      <c r="I573" s="1548"/>
      <c r="J573" s="1549"/>
      <c r="K573" s="1549"/>
      <c r="L573" s="1549"/>
      <c r="M573" s="1549"/>
      <c r="N573" s="1550"/>
      <c r="O573" s="1703">
        <v>0.15</v>
      </c>
      <c r="P573" s="1704"/>
      <c r="Q573" s="1722"/>
      <c r="R573" s="1721"/>
      <c r="S573" s="1783" t="s">
        <v>1754</v>
      </c>
      <c r="T573" s="1783"/>
      <c r="U573" s="1719">
        <v>7.5</v>
      </c>
      <c r="V573" s="1719"/>
      <c r="W573" s="1719">
        <v>11.3</v>
      </c>
      <c r="X573" s="1719"/>
      <c r="Y573" s="1719">
        <v>15</v>
      </c>
      <c r="Z573" s="1719"/>
      <c r="AA573" s="1719">
        <v>18.8</v>
      </c>
      <c r="AB573" s="1719"/>
      <c r="AC573" s="1719">
        <v>22.5</v>
      </c>
      <c r="AD573" s="1719"/>
      <c r="AE573" s="1723">
        <v>30</v>
      </c>
      <c r="AF573" s="1724"/>
      <c r="AN573" s="279"/>
      <c r="AP573" s="1875" t="str">
        <f t="shared" si="0"/>
        <v>3 BR</v>
      </c>
      <c r="AQ573" s="1876"/>
      <c r="AR573" s="1876"/>
      <c r="AS573" s="1876"/>
      <c r="AT573" s="1877"/>
      <c r="AU573" s="1476">
        <f t="shared" si="1"/>
        <v>13</v>
      </c>
      <c r="AV573" s="1477"/>
      <c r="AW573" s="1477"/>
      <c r="AX573" s="1477"/>
      <c r="AY573" s="1478"/>
      <c r="AZ573" s="1476">
        <f t="shared" si="2"/>
        <v>2</v>
      </c>
      <c r="BA573" s="1477"/>
      <c r="BB573" s="1477"/>
      <c r="BC573" s="1477"/>
      <c r="BD573" s="1478"/>
      <c r="BE573" s="1869">
        <f t="shared" si="3"/>
        <v>0.15384615384615385</v>
      </c>
      <c r="BF573" s="1870"/>
      <c r="BG573" s="1870"/>
      <c r="BH573" s="1870"/>
      <c r="BI573" s="1871"/>
      <c r="BJ573" s="1272"/>
      <c r="BK573" s="1273"/>
      <c r="BL573" s="1273"/>
      <c r="BM573" s="1273"/>
      <c r="BN573" s="1274"/>
      <c r="BO573" s="1272"/>
      <c r="BP573" s="1273"/>
      <c r="BQ573" s="1273"/>
      <c r="BR573" s="1273"/>
      <c r="BS573" s="1274"/>
      <c r="BT573" s="1272">
        <f>IF(AND(AND(AZ571+AZ572=0,BJ571+BO572=0,AP583=1)),1,0)</f>
        <v>0</v>
      </c>
      <c r="BU573" s="1273"/>
      <c r="BV573" s="1273"/>
      <c r="BW573" s="1273"/>
      <c r="BX573" s="1274"/>
      <c r="BY573" s="1272"/>
      <c r="BZ573" s="1273"/>
      <c r="CA573" s="1273"/>
      <c r="CB573" s="1273"/>
      <c r="CC573" s="1274"/>
      <c r="CD573" s="1272"/>
      <c r="CE573" s="1273"/>
      <c r="CF573" s="1273"/>
      <c r="CG573" s="1273"/>
      <c r="CH573" s="1274"/>
      <c r="CI573" s="1272"/>
      <c r="CJ573" s="1273"/>
      <c r="CK573" s="1273"/>
      <c r="CL573" s="1273"/>
      <c r="CM573" s="1274"/>
      <c r="CN573" s="21"/>
      <c r="CO573" s="21"/>
      <c r="CP573" s="21"/>
      <c r="CQ573" s="21"/>
      <c r="CR573" s="21"/>
    </row>
    <row r="574" spans="1:96" s="4" customFormat="1" ht="12.75" customHeight="1" thickBot="1">
      <c r="B574" s="5"/>
      <c r="C574" s="5"/>
      <c r="D574" s="5"/>
      <c r="E574" s="5"/>
      <c r="I574" s="1551"/>
      <c r="J574" s="1552"/>
      <c r="K574" s="1552"/>
      <c r="L574" s="1552"/>
      <c r="M574" s="1552"/>
      <c r="N574" s="1553"/>
      <c r="O574" s="1703">
        <v>0.1</v>
      </c>
      <c r="P574" s="1704"/>
      <c r="Q574" s="1832"/>
      <c r="R574" s="1833"/>
      <c r="S574" s="1783" t="s">
        <v>1755</v>
      </c>
      <c r="T574" s="1783"/>
      <c r="U574" s="1809">
        <v>5</v>
      </c>
      <c r="V574" s="1809"/>
      <c r="W574" s="1809">
        <v>7.5</v>
      </c>
      <c r="X574" s="1809"/>
      <c r="Y574" s="1809">
        <v>10</v>
      </c>
      <c r="Z574" s="1809"/>
      <c r="AA574" s="1809">
        <v>12.5</v>
      </c>
      <c r="AB574" s="1809"/>
      <c r="AC574" s="1809">
        <v>15</v>
      </c>
      <c r="AD574" s="1809"/>
      <c r="AE574" s="1829">
        <v>20</v>
      </c>
      <c r="AF574" s="1830"/>
      <c r="AK574" s="165"/>
      <c r="AL574" s="165"/>
      <c r="AM574" s="5"/>
      <c r="AN574" s="279"/>
      <c r="AP574" s="1875" t="str">
        <f t="shared" si="0"/>
        <v>2 BR</v>
      </c>
      <c r="AQ574" s="1876"/>
      <c r="AR574" s="1876"/>
      <c r="AS574" s="1876"/>
      <c r="AT574" s="1877"/>
      <c r="AU574" s="1476">
        <f t="shared" si="1"/>
        <v>23</v>
      </c>
      <c r="AV574" s="1477"/>
      <c r="AW574" s="1477"/>
      <c r="AX574" s="1477"/>
      <c r="AY574" s="1478"/>
      <c r="AZ574" s="1476">
        <f t="shared" si="2"/>
        <v>6</v>
      </c>
      <c r="BA574" s="1477"/>
      <c r="BB574" s="1477"/>
      <c r="BC574" s="1477"/>
      <c r="BD574" s="1478"/>
      <c r="BE574" s="1869">
        <f t="shared" si="3"/>
        <v>0.2608695652173913</v>
      </c>
      <c r="BF574" s="1870"/>
      <c r="BG574" s="1870"/>
      <c r="BH574" s="1870"/>
      <c r="BI574" s="1871"/>
      <c r="BJ574" s="1272"/>
      <c r="BK574" s="1273"/>
      <c r="BL574" s="1273"/>
      <c r="BM574" s="1273"/>
      <c r="BN574" s="1274"/>
      <c r="BO574" s="1272"/>
      <c r="BP574" s="1273"/>
      <c r="BQ574" s="1273"/>
      <c r="BR574" s="1273"/>
      <c r="BS574" s="1274"/>
      <c r="BT574" s="1272"/>
      <c r="BU574" s="1273"/>
      <c r="BV574" s="1273"/>
      <c r="BW574" s="1273"/>
      <c r="BX574" s="1274"/>
      <c r="BY574" s="1272">
        <f>IF(AND(AND(AZ571+AZ572+AZ573=0,BO572+BT573+BJ571=0,AP584=1)),1,0)</f>
        <v>0</v>
      </c>
      <c r="BZ574" s="1273"/>
      <c r="CA574" s="1273"/>
      <c r="CB574" s="1273"/>
      <c r="CC574" s="1274"/>
      <c r="CD574" s="1272"/>
      <c r="CE574" s="1273"/>
      <c r="CF574" s="1273"/>
      <c r="CG574" s="1273"/>
      <c r="CH574" s="1274"/>
      <c r="CI574" s="1272"/>
      <c r="CJ574" s="1273"/>
      <c r="CK574" s="1273"/>
      <c r="CL574" s="1273"/>
      <c r="CM574" s="1274"/>
      <c r="CN574" s="21"/>
      <c r="CO574" s="21"/>
      <c r="CP574" s="21"/>
      <c r="CQ574" s="21"/>
      <c r="CR574" s="21"/>
    </row>
    <row r="575" spans="1:96" s="4" customFormat="1" ht="12.75" customHeight="1">
      <c r="B575" s="5"/>
      <c r="C575" s="5"/>
      <c r="D575" s="5"/>
      <c r="E575" s="1598" t="s">
        <v>939</v>
      </c>
      <c r="F575" s="1586"/>
      <c r="G575" s="1586"/>
      <c r="H575" s="1586"/>
      <c r="I575" s="1586"/>
      <c r="J575" s="1586"/>
      <c r="K575" s="1586"/>
      <c r="L575" s="1586"/>
      <c r="M575" s="1586"/>
      <c r="N575" s="1586"/>
      <c r="O575" s="1586"/>
      <c r="P575" s="1586"/>
      <c r="Q575" s="1586"/>
      <c r="R575" s="1586"/>
      <c r="S575" s="1586"/>
      <c r="T575" s="1586"/>
      <c r="U575" s="1586"/>
      <c r="V575" s="1586"/>
      <c r="W575" s="1586"/>
      <c r="X575" s="1586"/>
      <c r="Y575" s="1586"/>
      <c r="Z575" s="1586"/>
      <c r="AA575" s="1586"/>
      <c r="AB575" s="1586"/>
      <c r="AC575" s="1586"/>
      <c r="AD575" s="1586"/>
      <c r="AE575" s="1586"/>
      <c r="AF575" s="1586"/>
      <c r="AG575" s="1586"/>
      <c r="AH575" s="1587"/>
      <c r="AK575" s="165"/>
      <c r="AL575" s="165"/>
      <c r="AM575" s="5"/>
      <c r="AN575" s="279"/>
      <c r="AP575" s="1875" t="str">
        <f t="shared" si="0"/>
        <v>1 BR</v>
      </c>
      <c r="AQ575" s="1876"/>
      <c r="AR575" s="1876"/>
      <c r="AS575" s="1876"/>
      <c r="AT575" s="1877"/>
      <c r="AU575" s="1476">
        <f t="shared" si="1"/>
        <v>13</v>
      </c>
      <c r="AV575" s="1477"/>
      <c r="AW575" s="1477"/>
      <c r="AX575" s="1477"/>
      <c r="AY575" s="1478"/>
      <c r="AZ575" s="1476">
        <f t="shared" si="2"/>
        <v>5</v>
      </c>
      <c r="BA575" s="1477"/>
      <c r="BB575" s="1477"/>
      <c r="BC575" s="1477"/>
      <c r="BD575" s="1478"/>
      <c r="BE575" s="1869">
        <f t="shared" si="3"/>
        <v>0.38461538461538464</v>
      </c>
      <c r="BF575" s="1870"/>
      <c r="BG575" s="1870"/>
      <c r="BH575" s="1870"/>
      <c r="BI575" s="1871"/>
      <c r="BJ575" s="1272"/>
      <c r="BK575" s="1273"/>
      <c r="BL575" s="1273"/>
      <c r="BM575" s="1273"/>
      <c r="BN575" s="1274"/>
      <c r="BO575" s="1272"/>
      <c r="BP575" s="1273"/>
      <c r="BQ575" s="1273"/>
      <c r="BR575" s="1273"/>
      <c r="BS575" s="1274"/>
      <c r="BT575" s="1272"/>
      <c r="BU575" s="1273"/>
      <c r="BV575" s="1273"/>
      <c r="BW575" s="1273"/>
      <c r="BX575" s="1274"/>
      <c r="BY575" s="1272"/>
      <c r="BZ575" s="1273"/>
      <c r="CA575" s="1273"/>
      <c r="CB575" s="1273"/>
      <c r="CC575" s="1274"/>
      <c r="CD575" s="1272">
        <f>IF(AND(AND(BE572+BE573+BE574+BE571=0,BT573+BY574+BO572+BJ571=0,AP585=1)),1,0)</f>
        <v>0</v>
      </c>
      <c r="CE575" s="1273"/>
      <c r="CF575" s="1273"/>
      <c r="CG575" s="1273"/>
      <c r="CH575" s="1274"/>
      <c r="CI575" s="1272"/>
      <c r="CJ575" s="1273"/>
      <c r="CK575" s="1273"/>
      <c r="CL575" s="1273"/>
      <c r="CM575" s="1274"/>
      <c r="CN575" s="21"/>
      <c r="CO575" s="21"/>
      <c r="CP575" s="21"/>
      <c r="CQ575" s="21"/>
      <c r="CR575" s="21"/>
    </row>
    <row r="576" spans="1:96" s="4" customFormat="1" ht="12.75" customHeight="1">
      <c r="E576" s="1790"/>
      <c r="F576" s="1234"/>
      <c r="G576" s="1234"/>
      <c r="H576" s="1234"/>
      <c r="I576" s="1234"/>
      <c r="J576" s="1234"/>
      <c r="K576" s="1234"/>
      <c r="L576" s="1234"/>
      <c r="M576" s="1234"/>
      <c r="N576" s="1234"/>
      <c r="O576" s="1234"/>
      <c r="P576" s="1234"/>
      <c r="Q576" s="1234"/>
      <c r="R576" s="1234"/>
      <c r="S576" s="1234"/>
      <c r="T576" s="1234"/>
      <c r="U576" s="1234"/>
      <c r="V576" s="1234"/>
      <c r="W576" s="1234"/>
      <c r="X576" s="1234"/>
      <c r="Y576" s="1234"/>
      <c r="Z576" s="1234"/>
      <c r="AA576" s="1234"/>
      <c r="AB576" s="1234"/>
      <c r="AC576" s="1234"/>
      <c r="AD576" s="1234"/>
      <c r="AE576" s="1234"/>
      <c r="AF576" s="1234"/>
      <c r="AG576" s="1234"/>
      <c r="AH576" s="1791"/>
      <c r="AN576" s="279"/>
      <c r="AP576" s="1875" t="str">
        <f t="shared" si="0"/>
        <v>SRO</v>
      </c>
      <c r="AQ576" s="1876"/>
      <c r="AR576" s="1876"/>
      <c r="AS576" s="1876"/>
      <c r="AT576" s="1877"/>
      <c r="AU576" s="1476">
        <f t="shared" si="1"/>
        <v>0</v>
      </c>
      <c r="AV576" s="1477"/>
      <c r="AW576" s="1477"/>
      <c r="AX576" s="1477"/>
      <c r="AY576" s="1478"/>
      <c r="AZ576" s="1476">
        <f t="shared" si="2"/>
        <v>0</v>
      </c>
      <c r="BA576" s="1477"/>
      <c r="BB576" s="1477"/>
      <c r="BC576" s="1477"/>
      <c r="BD576" s="1478"/>
      <c r="BE576" s="1869">
        <f t="shared" si="3"/>
        <v>0</v>
      </c>
      <c r="BF576" s="1870"/>
      <c r="BG576" s="1870"/>
      <c r="BH576" s="1870"/>
      <c r="BI576" s="1871"/>
      <c r="BJ576" s="1272"/>
      <c r="BK576" s="1273"/>
      <c r="BL576" s="1273"/>
      <c r="BM576" s="1273"/>
      <c r="BN576" s="1274"/>
      <c r="BO576" s="1272"/>
      <c r="BP576" s="1273"/>
      <c r="BQ576" s="1273"/>
      <c r="BR576" s="1273"/>
      <c r="BS576" s="1274"/>
      <c r="BT576" s="1272"/>
      <c r="BU576" s="1273"/>
      <c r="BV576" s="1273"/>
      <c r="BW576" s="1273"/>
      <c r="BX576" s="1274"/>
      <c r="BY576" s="1272"/>
      <c r="BZ576" s="1273"/>
      <c r="CA576" s="1273"/>
      <c r="CB576" s="1273"/>
      <c r="CC576" s="1274"/>
      <c r="CD576" s="1272"/>
      <c r="CE576" s="1273"/>
      <c r="CF576" s="1273"/>
      <c r="CG576" s="1273"/>
      <c r="CH576" s="1274"/>
      <c r="CI576" s="1272">
        <f>IF(AND(AND(AZ573+AZ574+AZ575+AZ572+AZ571=0,BY574+CD575+BT573+BO572+BJ571=0,AP586=1)),1,0)</f>
        <v>0</v>
      </c>
      <c r="CJ576" s="1273"/>
      <c r="CK576" s="1273"/>
      <c r="CL576" s="1273"/>
      <c r="CM576" s="1274"/>
      <c r="CN576" s="21"/>
      <c r="CO576" s="21"/>
      <c r="CP576" s="21"/>
      <c r="CQ576" s="21"/>
      <c r="CR576" s="21"/>
    </row>
    <row r="577" spans="5:96" s="4" customFormat="1" ht="12.75" customHeight="1">
      <c r="E577" s="1711" t="s">
        <v>1506</v>
      </c>
      <c r="F577" s="1712"/>
      <c r="G577" s="1712"/>
      <c r="H577" s="1712"/>
      <c r="I577" s="1712"/>
      <c r="J577" s="1713"/>
      <c r="K577" s="1711" t="s">
        <v>2305</v>
      </c>
      <c r="L577" s="1712"/>
      <c r="M577" s="1712"/>
      <c r="N577" s="1712"/>
      <c r="O577" s="1712"/>
      <c r="P577" s="1713"/>
      <c r="Q577" s="1545" t="s">
        <v>1502</v>
      </c>
      <c r="R577" s="1546"/>
      <c r="S577" s="1546"/>
      <c r="T577" s="1546"/>
      <c r="U577" s="1546"/>
      <c r="V577" s="1547"/>
      <c r="W577" s="1545" t="str">
        <f>I566</f>
        <v>Percent of Low-Income Units (exclusive of manager’s units)</v>
      </c>
      <c r="X577" s="1546"/>
      <c r="Y577" s="1546"/>
      <c r="Z577" s="1546"/>
      <c r="AA577" s="1546"/>
      <c r="AB577" s="1547"/>
      <c r="AC577" s="1545" t="s">
        <v>1505</v>
      </c>
      <c r="AD577" s="1546"/>
      <c r="AE577" s="1546"/>
      <c r="AF577" s="1546"/>
      <c r="AG577" s="1546"/>
      <c r="AH577" s="1547"/>
      <c r="AN577" s="279"/>
      <c r="AP577" s="1875" t="str">
        <f t="shared" si="0"/>
        <v>Total:</v>
      </c>
      <c r="AQ577" s="1876"/>
      <c r="AR577" s="1876"/>
      <c r="AS577" s="1876"/>
      <c r="AT577" s="1877"/>
      <c r="AU577" s="1875"/>
      <c r="AV577" s="1876"/>
      <c r="AW577" s="1876"/>
      <c r="AX577" s="1876"/>
      <c r="AY577" s="1877"/>
      <c r="AZ577" s="1875"/>
      <c r="BA577" s="1876"/>
      <c r="BB577" s="1876"/>
      <c r="BC577" s="1876"/>
      <c r="BD577" s="1877"/>
      <c r="BE577" s="1875"/>
      <c r="BF577" s="1876"/>
      <c r="BG577" s="1876"/>
      <c r="BH577" s="1876"/>
      <c r="BI577" s="1877"/>
      <c r="BJ577" s="1272">
        <f>SUM(BJ571:BN576)</f>
        <v>0</v>
      </c>
      <c r="BK577" s="1273"/>
      <c r="BL577" s="1273"/>
      <c r="BM577" s="1273"/>
      <c r="BN577" s="1274"/>
      <c r="BO577" s="1272">
        <f>SUM(BO571:BS576)</f>
        <v>0</v>
      </c>
      <c r="BP577" s="1273"/>
      <c r="BQ577" s="1273"/>
      <c r="BR577" s="1273"/>
      <c r="BS577" s="1274"/>
      <c r="BT577" s="1272">
        <f>SUM(BT571:BX576)</f>
        <v>0</v>
      </c>
      <c r="BU577" s="1273"/>
      <c r="BV577" s="1273"/>
      <c r="BW577" s="1273"/>
      <c r="BX577" s="1274"/>
      <c r="BY577" s="1272">
        <f>SUM(BY571:CC576)</f>
        <v>0</v>
      </c>
      <c r="BZ577" s="1273"/>
      <c r="CA577" s="1273"/>
      <c r="CB577" s="1273"/>
      <c r="CC577" s="1274"/>
      <c r="CD577" s="1272">
        <f>SUM(CD571:CH576)</f>
        <v>0</v>
      </c>
      <c r="CE577" s="1273"/>
      <c r="CF577" s="1273"/>
      <c r="CG577" s="1273"/>
      <c r="CH577" s="1274"/>
      <c r="CI577" s="1272">
        <f>SUM(CI571:CM576)</f>
        <v>0</v>
      </c>
      <c r="CJ577" s="1273"/>
      <c r="CK577" s="1273"/>
      <c r="CL577" s="1273"/>
      <c r="CM577" s="1274"/>
      <c r="CN577" s="1272">
        <f>SUM(BJ577:CM577)</f>
        <v>0</v>
      </c>
      <c r="CO577" s="1273"/>
      <c r="CP577" s="1273"/>
      <c r="CQ577" s="1273"/>
      <c r="CR577" s="1274"/>
    </row>
    <row r="578" spans="5:96" s="4" customFormat="1" ht="12.75" customHeight="1">
      <c r="E578" s="1714"/>
      <c r="F578" s="1715"/>
      <c r="G578" s="1715"/>
      <c r="H578" s="1715"/>
      <c r="I578" s="1715"/>
      <c r="J578" s="1716"/>
      <c r="K578" s="1714"/>
      <c r="L578" s="1715"/>
      <c r="M578" s="1715"/>
      <c r="N578" s="1715"/>
      <c r="O578" s="1715"/>
      <c r="P578" s="1716"/>
      <c r="Q578" s="1548"/>
      <c r="R578" s="1549"/>
      <c r="S578" s="1549"/>
      <c r="T578" s="1549"/>
      <c r="U578" s="1549"/>
      <c r="V578" s="1550"/>
      <c r="W578" s="1548"/>
      <c r="X578" s="1549"/>
      <c r="Y578" s="1549"/>
      <c r="Z578" s="1549"/>
      <c r="AA578" s="1549"/>
      <c r="AB578" s="1550"/>
      <c r="AC578" s="1548"/>
      <c r="AD578" s="1549"/>
      <c r="AE578" s="1549"/>
      <c r="AF578" s="1549"/>
      <c r="AG578" s="1549"/>
      <c r="AH578" s="1550"/>
      <c r="AN578" s="279"/>
    </row>
    <row r="579" spans="5:96" s="4" customFormat="1" ht="12.75" customHeight="1">
      <c r="E579" s="1714"/>
      <c r="F579" s="1715"/>
      <c r="G579" s="1715"/>
      <c r="H579" s="1715"/>
      <c r="I579" s="1715"/>
      <c r="J579" s="1716"/>
      <c r="K579" s="1714"/>
      <c r="L579" s="1715"/>
      <c r="M579" s="1715"/>
      <c r="N579" s="1715"/>
      <c r="O579" s="1715"/>
      <c r="P579" s="1716"/>
      <c r="Q579" s="1548"/>
      <c r="R579" s="1549"/>
      <c r="S579" s="1549"/>
      <c r="T579" s="1549"/>
      <c r="U579" s="1549"/>
      <c r="V579" s="1550"/>
      <c r="W579" s="1548"/>
      <c r="X579" s="1549"/>
      <c r="Y579" s="1549"/>
      <c r="Z579" s="1549"/>
      <c r="AA579" s="1549"/>
      <c r="AB579" s="1550"/>
      <c r="AC579" s="1548"/>
      <c r="AD579" s="1549"/>
      <c r="AE579" s="1549"/>
      <c r="AF579" s="1549"/>
      <c r="AG579" s="1549"/>
      <c r="AH579" s="1550"/>
      <c r="AN579" s="279"/>
    </row>
    <row r="580" spans="5:96" s="4" customFormat="1" ht="12.75" customHeight="1">
      <c r="E580" s="1714"/>
      <c r="F580" s="1715"/>
      <c r="G580" s="1715"/>
      <c r="H580" s="1715"/>
      <c r="I580" s="1715"/>
      <c r="J580" s="1716"/>
      <c r="K580" s="1714"/>
      <c r="L580" s="1715"/>
      <c r="M580" s="1715"/>
      <c r="N580" s="1715"/>
      <c r="O580" s="1715"/>
      <c r="P580" s="1716"/>
      <c r="Q580" s="1548"/>
      <c r="R580" s="1549"/>
      <c r="S580" s="1549"/>
      <c r="T580" s="1549"/>
      <c r="U580" s="1549"/>
      <c r="V580" s="1550"/>
      <c r="W580" s="1548"/>
      <c r="X580" s="1549"/>
      <c r="Y580" s="1549"/>
      <c r="Z580" s="1549"/>
      <c r="AA580" s="1549"/>
      <c r="AB580" s="1550"/>
      <c r="AC580" s="1548"/>
      <c r="AD580" s="1549"/>
      <c r="AE580" s="1549"/>
      <c r="AF580" s="1549"/>
      <c r="AG580" s="1549"/>
      <c r="AH580" s="1550"/>
      <c r="AN580" s="279"/>
      <c r="AP580" s="3" t="s">
        <v>1127</v>
      </c>
      <c r="BH580" s="3" t="s">
        <v>1128</v>
      </c>
    </row>
    <row r="581" spans="5:96" s="4" customFormat="1" ht="12.75" customHeight="1">
      <c r="E581" s="1705"/>
      <c r="F581" s="1706"/>
      <c r="G581" s="1706"/>
      <c r="H581" s="1706"/>
      <c r="I581" s="1706"/>
      <c r="J581" s="1707"/>
      <c r="K581" s="1708">
        <v>20</v>
      </c>
      <c r="L581" s="1709"/>
      <c r="M581" s="1709"/>
      <c r="N581" s="1709"/>
      <c r="O581" s="1709"/>
      <c r="P581" s="1710"/>
      <c r="Q581" s="1780">
        <f>IF(ISERROR(IF((((E581/$BJ$528)*100)&gt;100),"EXCESSIVE VALUE",(E581/$BJ$528)*100)),0,IF((((E581/$BJ$528)*100)&gt;100),"EXCESSIVE VALUE",(E581/$BJ$528)*100))</f>
        <v>0</v>
      </c>
      <c r="R581" s="1781"/>
      <c r="S581" s="1781"/>
      <c r="T581" s="1781"/>
      <c r="U581" s="1781"/>
      <c r="V581" s="1782"/>
      <c r="W581" s="1777">
        <f>IF(FLOOR(Q581,5)&gt;80,80,FLOOR(Q581,5))</f>
        <v>0</v>
      </c>
      <c r="X581" s="1778"/>
      <c r="Y581" s="1778"/>
      <c r="Z581" s="1778"/>
      <c r="AA581" s="1778"/>
      <c r="AB581" s="1779"/>
      <c r="AC581" s="1777">
        <f>IFERROR(IF(W581&gt;0,INDEX($BI$507:$BP$521,MATCH(W581,$BH$507:$BH$521,0),MATCH(K581,$BI$506:$BP$506,0)),0),0)</f>
        <v>0</v>
      </c>
      <c r="AD581" s="1778"/>
      <c r="AE581" s="1778"/>
      <c r="AF581" s="1778"/>
      <c r="AG581" s="1778"/>
      <c r="AH581" s="1779"/>
      <c r="AN581" s="279"/>
      <c r="AO581" s="4">
        <v>5</v>
      </c>
      <c r="AP581" s="1708">
        <f t="shared" ref="AP581:AP586" si="4">IF(OR(BE571&gt;=0.1,BE571=0),0,1)</f>
        <v>0</v>
      </c>
      <c r="AQ581" s="1709"/>
      <c r="AR581" s="1709"/>
      <c r="AS581" s="1709"/>
      <c r="AT581" s="1710"/>
      <c r="AX581" s="1763" t="s">
        <v>794</v>
      </c>
      <c r="AY581" s="1767"/>
      <c r="AZ581" s="1767"/>
      <c r="BA581" s="1767"/>
      <c r="BB581" s="1767"/>
      <c r="BC581" s="1767"/>
      <c r="BD581" s="1767"/>
      <c r="BE581" s="1767"/>
      <c r="BF581" s="1767"/>
      <c r="BG581" s="1767"/>
      <c r="BH581" s="1767"/>
      <c r="BI581" s="1767"/>
      <c r="BJ581" s="1767"/>
      <c r="BK581" s="1767"/>
      <c r="BL581" s="1767"/>
      <c r="BM581" s="1767"/>
      <c r="BN581" s="1767"/>
      <c r="BO581" s="1767"/>
      <c r="BP581" s="1767"/>
      <c r="BQ581" s="1764"/>
    </row>
    <row r="582" spans="5:96" s="4" customFormat="1" ht="12.75" customHeight="1">
      <c r="E582" s="1831">
        <f>+Application!G703+Application!G706+Application!G709</f>
        <v>13</v>
      </c>
      <c r="F582" s="1706"/>
      <c r="G582" s="1706"/>
      <c r="H582" s="1706"/>
      <c r="I582" s="1706"/>
      <c r="J582" s="1707"/>
      <c r="K582" s="1708">
        <v>30</v>
      </c>
      <c r="L582" s="1709"/>
      <c r="M582" s="1709"/>
      <c r="N582" s="1709"/>
      <c r="O582" s="1709"/>
      <c r="P582" s="1710"/>
      <c r="Q582" s="1780">
        <f>IF(ISERROR(IF((((E582/$BJ$528)*100)&gt;100),"EXCESSIVE VALUE",(E582/$BJ$528)*100)),0,IF((((E582/$BJ$528)*100)&gt;100),"EXCESSIVE VALUE",(E582/$BJ$528)*100))</f>
        <v>26.530612244897959</v>
      </c>
      <c r="R582" s="1781"/>
      <c r="S582" s="1781"/>
      <c r="T582" s="1781"/>
      <c r="U582" s="1781"/>
      <c r="V582" s="1782"/>
      <c r="W582" s="1777">
        <f>IF(FLOOR(Q582,5)&gt;80,80,FLOOR(Q582,5))</f>
        <v>25</v>
      </c>
      <c r="X582" s="1778"/>
      <c r="Y582" s="1778"/>
      <c r="Z582" s="1778"/>
      <c r="AA582" s="1778"/>
      <c r="AB582" s="1779"/>
      <c r="AC582" s="1777">
        <f t="shared" ref="AC582:AC586" si="5">IFERROR(IF(W582&gt;0,INDEX($BI$507:$BP$521,MATCH(W582,$BH$507:$BH$521,0),MATCH(K582,$BI$506:$BP$506,0)),0),0)</f>
        <v>37.5</v>
      </c>
      <c r="AD582" s="1778"/>
      <c r="AE582" s="1778"/>
      <c r="AF582" s="1778"/>
      <c r="AG582" s="1778"/>
      <c r="AH582" s="1779"/>
      <c r="AN582" s="279"/>
      <c r="AO582" s="4">
        <v>4</v>
      </c>
      <c r="AP582" s="1708">
        <f t="shared" si="4"/>
        <v>0</v>
      </c>
      <c r="AQ582" s="1709"/>
      <c r="AR582" s="1709"/>
      <c r="AS582" s="1709"/>
      <c r="AT582" s="1710"/>
      <c r="AX582" s="1788" t="s">
        <v>616</v>
      </c>
      <c r="AY582" s="1789"/>
      <c r="AZ582" s="1314" t="s">
        <v>616</v>
      </c>
      <c r="BA582" s="1316"/>
      <c r="BB582" s="1788" t="s">
        <v>265</v>
      </c>
      <c r="BC582" s="1789"/>
      <c r="BD582" s="1768" t="s">
        <v>265</v>
      </c>
      <c r="BE582" s="1770"/>
      <c r="BF582" s="1788" t="s">
        <v>264</v>
      </c>
      <c r="BG582" s="1789"/>
      <c r="BH582" s="1768" t="s">
        <v>264</v>
      </c>
      <c r="BI582" s="1770"/>
      <c r="BJ582" s="1788" t="s">
        <v>263</v>
      </c>
      <c r="BK582" s="1789"/>
      <c r="BL582" s="1768" t="s">
        <v>263</v>
      </c>
      <c r="BM582" s="1770"/>
      <c r="BN582" s="1788" t="s">
        <v>615</v>
      </c>
      <c r="BO582" s="1789"/>
      <c r="BP582" s="1768" t="s">
        <v>615</v>
      </c>
      <c r="BQ582" s="1770"/>
    </row>
    <row r="583" spans="5:96" s="4" customFormat="1" ht="12.75" customHeight="1">
      <c r="E583" s="1705"/>
      <c r="F583" s="1706"/>
      <c r="G583" s="1706"/>
      <c r="H583" s="1706"/>
      <c r="I583" s="1706"/>
      <c r="J583" s="1707"/>
      <c r="K583" s="1708">
        <v>35</v>
      </c>
      <c r="L583" s="1709"/>
      <c r="M583" s="1709"/>
      <c r="N583" s="1709"/>
      <c r="O583" s="1709"/>
      <c r="P583" s="1710"/>
      <c r="Q583" s="1780">
        <f t="shared" ref="Q583:Q589" si="6">IF(ISERROR(IF((((E583/$BJ$528)*100)&gt;100),"EXCESSIVE VALUE",(E583/$BJ$528)*100)),0,IF((((E583/$BJ$528)*100)&gt;100),"EXCESSIVE VALUE",(E583/$BJ$528)*100))</f>
        <v>0</v>
      </c>
      <c r="R583" s="1781"/>
      <c r="S583" s="1781"/>
      <c r="T583" s="1781"/>
      <c r="U583" s="1781"/>
      <c r="V583" s="1782"/>
      <c r="W583" s="1777">
        <f t="shared" ref="W583:W589" si="7">IF(FLOOR(Q583,5)&gt;80,80,FLOOR(Q583,5))</f>
        <v>0</v>
      </c>
      <c r="X583" s="1778"/>
      <c r="Y583" s="1778"/>
      <c r="Z583" s="1778"/>
      <c r="AA583" s="1778"/>
      <c r="AB583" s="1779"/>
      <c r="AC583" s="1777">
        <f t="shared" si="5"/>
        <v>0</v>
      </c>
      <c r="AD583" s="1778"/>
      <c r="AE583" s="1778"/>
      <c r="AF583" s="1778"/>
      <c r="AG583" s="1778"/>
      <c r="AH583" s="1779"/>
      <c r="AN583" s="279"/>
      <c r="AO583" s="4">
        <v>3</v>
      </c>
      <c r="AP583" s="1708">
        <f t="shared" si="4"/>
        <v>0</v>
      </c>
      <c r="AQ583" s="1709"/>
      <c r="AR583" s="1709"/>
      <c r="AS583" s="1709"/>
      <c r="AT583" s="1710"/>
      <c r="AX583" s="1788">
        <f>IF(AP533=1,1,0)</f>
        <v>0</v>
      </c>
      <c r="AY583" s="1789"/>
      <c r="AZ583" s="1763"/>
      <c r="BA583" s="1764"/>
      <c r="BB583" s="1807"/>
      <c r="BC583" s="1808"/>
      <c r="BD583" s="1768">
        <f>IF(AND(T609&gt;0,AP533&gt;0),1,0)</f>
        <v>0</v>
      </c>
      <c r="BE583" s="1770"/>
      <c r="BF583" s="1807"/>
      <c r="BG583" s="1808"/>
      <c r="BH583" s="1768">
        <f>IF(AND(T609&gt;0,AP533&gt;0),1,0)</f>
        <v>0</v>
      </c>
      <c r="BI583" s="1770"/>
      <c r="BJ583" s="1807"/>
      <c r="BK583" s="1808"/>
      <c r="BL583" s="1768">
        <f>IF(AND(T609&gt;0,AP533&gt;0),1,0)</f>
        <v>0</v>
      </c>
      <c r="BM583" s="1770"/>
      <c r="BN583" s="1807"/>
      <c r="BO583" s="1808"/>
      <c r="BP583" s="1768">
        <f>IF(AND(T609&gt;0,AP533&gt;0),1,0)</f>
        <v>0</v>
      </c>
      <c r="BQ583" s="1770"/>
    </row>
    <row r="584" spans="5:96" s="4" customFormat="1" ht="12.75" customHeight="1">
      <c r="E584" s="1831">
        <f>+Application!G704+Application!G707+Application!G710</f>
        <v>10</v>
      </c>
      <c r="F584" s="1706"/>
      <c r="G584" s="1706"/>
      <c r="H584" s="1706"/>
      <c r="I584" s="1706"/>
      <c r="J584" s="1707"/>
      <c r="K584" s="1708">
        <v>40</v>
      </c>
      <c r="L584" s="1709"/>
      <c r="M584" s="1709"/>
      <c r="N584" s="1709"/>
      <c r="O584" s="1709"/>
      <c r="P584" s="1710"/>
      <c r="Q584" s="1780">
        <f t="shared" si="6"/>
        <v>20.408163265306122</v>
      </c>
      <c r="R584" s="1781"/>
      <c r="S584" s="1781"/>
      <c r="T584" s="1781"/>
      <c r="U584" s="1781"/>
      <c r="V584" s="1782"/>
      <c r="W584" s="1777">
        <f t="shared" si="7"/>
        <v>20</v>
      </c>
      <c r="X584" s="1778"/>
      <c r="Y584" s="1778"/>
      <c r="Z584" s="1778"/>
      <c r="AA584" s="1778"/>
      <c r="AB584" s="1779"/>
      <c r="AC584" s="1777">
        <f t="shared" si="5"/>
        <v>20</v>
      </c>
      <c r="AD584" s="1778"/>
      <c r="AE584" s="1778"/>
      <c r="AF584" s="1778"/>
      <c r="AG584" s="1778"/>
      <c r="AH584" s="1779"/>
      <c r="AN584" s="279"/>
      <c r="AO584" s="4">
        <v>2</v>
      </c>
      <c r="AP584" s="1708">
        <f t="shared" si="4"/>
        <v>0</v>
      </c>
      <c r="AQ584" s="1709"/>
      <c r="AR584" s="1709"/>
      <c r="AS584" s="1709"/>
      <c r="AT584" s="1710"/>
      <c r="AX584" s="1807"/>
      <c r="AY584" s="1808"/>
      <c r="AZ584" s="1763"/>
      <c r="BA584" s="1764"/>
      <c r="BB584" s="1788">
        <f>IF(AP534=1,1,0)</f>
        <v>0</v>
      </c>
      <c r="BC584" s="1789"/>
      <c r="BD584" s="1763"/>
      <c r="BE584" s="1764"/>
      <c r="BF584" s="1807"/>
      <c r="BG584" s="1808"/>
      <c r="BH584" s="1768">
        <f>IF(AND(T610&gt;0,AP534&gt;0),1,0)</f>
        <v>1</v>
      </c>
      <c r="BI584" s="1770"/>
      <c r="BJ584" s="1807"/>
      <c r="BK584" s="1808"/>
      <c r="BL584" s="1768">
        <f>IF(AND(T610&gt;0,AP534&gt;0),1,0)</f>
        <v>1</v>
      </c>
      <c r="BM584" s="1770"/>
      <c r="BN584" s="1807"/>
      <c r="BO584" s="1808"/>
      <c r="BP584" s="1768">
        <f>IF(AND(T610&gt;0,AP534&gt;0),1,0)</f>
        <v>1</v>
      </c>
      <c r="BQ584" s="1770"/>
    </row>
    <row r="585" spans="5:96" s="4" customFormat="1" ht="12.75" customHeight="1">
      <c r="E585" s="1705"/>
      <c r="F585" s="1706"/>
      <c r="G585" s="1706"/>
      <c r="H585" s="1706"/>
      <c r="I585" s="1706"/>
      <c r="J585" s="1707"/>
      <c r="K585" s="1708">
        <v>45</v>
      </c>
      <c r="L585" s="1709"/>
      <c r="M585" s="1709"/>
      <c r="N585" s="1709"/>
      <c r="O585" s="1709"/>
      <c r="P585" s="1710"/>
      <c r="Q585" s="1780">
        <f t="shared" si="6"/>
        <v>0</v>
      </c>
      <c r="R585" s="1781"/>
      <c r="S585" s="1781"/>
      <c r="T585" s="1781"/>
      <c r="U585" s="1781"/>
      <c r="V585" s="1782"/>
      <c r="W585" s="1777">
        <f>IF(FLOOR(Q585,5)&gt;65,65,FLOOR(Q585,5))</f>
        <v>0</v>
      </c>
      <c r="X585" s="1778"/>
      <c r="Y585" s="1778"/>
      <c r="Z585" s="1778"/>
      <c r="AA585" s="1778"/>
      <c r="AB585" s="1779"/>
      <c r="AC585" s="1777">
        <f t="shared" si="5"/>
        <v>0</v>
      </c>
      <c r="AD585" s="1778"/>
      <c r="AE585" s="1778"/>
      <c r="AF585" s="1778"/>
      <c r="AG585" s="1778"/>
      <c r="AH585" s="1779"/>
      <c r="AN585" s="279"/>
      <c r="AO585" s="4">
        <v>1</v>
      </c>
      <c r="AP585" s="1708">
        <f t="shared" si="4"/>
        <v>0</v>
      </c>
      <c r="AQ585" s="1709"/>
      <c r="AR585" s="1709"/>
      <c r="AS585" s="1709"/>
      <c r="AT585" s="1710"/>
      <c r="AX585" s="1807"/>
      <c r="AY585" s="1808"/>
      <c r="AZ585" s="1763"/>
      <c r="BA585" s="1764"/>
      <c r="BB585" s="1807"/>
      <c r="BC585" s="1808"/>
      <c r="BD585" s="1763"/>
      <c r="BE585" s="1764"/>
      <c r="BF585" s="1788">
        <f>IF(AP535=1,1,0)</f>
        <v>1</v>
      </c>
      <c r="BG585" s="1789"/>
      <c r="BH585" s="1763"/>
      <c r="BI585" s="1764"/>
      <c r="BJ585" s="1807"/>
      <c r="BK585" s="1808"/>
      <c r="BL585" s="1768">
        <f>IF(AND(T611&gt;0,AP535&gt;0),1,0)</f>
        <v>1</v>
      </c>
      <c r="BM585" s="1770"/>
      <c r="BN585" s="1807"/>
      <c r="BO585" s="1808"/>
      <c r="BP585" s="1768">
        <f>IF(AND(T611&gt;0,AP535&gt;0),1,0)</f>
        <v>1</v>
      </c>
      <c r="BQ585" s="1770"/>
    </row>
    <row r="586" spans="5:96" s="4" customFormat="1" ht="12.75" customHeight="1">
      <c r="E586" s="1831">
        <f>+Application!G705+Application!G708+Application!G711</f>
        <v>26</v>
      </c>
      <c r="F586" s="1706"/>
      <c r="G586" s="1706"/>
      <c r="H586" s="1706"/>
      <c r="I586" s="1706"/>
      <c r="J586" s="1707"/>
      <c r="K586" s="1708">
        <f>IF(OR(Application!D211="Rural",Application!D211="Rural apportionment (Section 514)",Application!D211="Rural apportionment (Section 515)",Application!D211="Rural apportionment (CDBG-DR)",Application!D211="Rural apportionment (HOME)",Application!D211="Rural (Native American apportionment)"),"",50)</f>
        <v>50</v>
      </c>
      <c r="L586" s="1709"/>
      <c r="M586" s="1709"/>
      <c r="N586" s="1709"/>
      <c r="O586" s="1709"/>
      <c r="P586" s="1710"/>
      <c r="Q586" s="1780">
        <f t="shared" si="6"/>
        <v>53.061224489795919</v>
      </c>
      <c r="R586" s="1781"/>
      <c r="S586" s="1781"/>
      <c r="T586" s="1781"/>
      <c r="U586" s="1781"/>
      <c r="V586" s="1782"/>
      <c r="W586" s="1777">
        <f>IF(FLOOR(Q586,5)&gt;40,40,FLOOR(Q586,5))</f>
        <v>40</v>
      </c>
      <c r="X586" s="1778"/>
      <c r="Y586" s="1778"/>
      <c r="Z586" s="1778"/>
      <c r="AA586" s="1778"/>
      <c r="AB586" s="1779"/>
      <c r="AC586" s="1777">
        <f t="shared" si="5"/>
        <v>20</v>
      </c>
      <c r="AD586" s="1778"/>
      <c r="AE586" s="1778"/>
      <c r="AF586" s="1778"/>
      <c r="AG586" s="1778"/>
      <c r="AH586" s="1779"/>
      <c r="AN586" s="279"/>
      <c r="AO586" s="4">
        <v>0</v>
      </c>
      <c r="AP586" s="1708">
        <f t="shared" si="4"/>
        <v>0</v>
      </c>
      <c r="AQ586" s="1709"/>
      <c r="AR586" s="1709"/>
      <c r="AS586" s="1709"/>
      <c r="AT586" s="1710"/>
      <c r="AX586" s="1807"/>
      <c r="AY586" s="1808"/>
      <c r="AZ586" s="1763"/>
      <c r="BA586" s="1764"/>
      <c r="BB586" s="1807"/>
      <c r="BC586" s="1808"/>
      <c r="BD586" s="1763"/>
      <c r="BE586" s="1764"/>
      <c r="BF586" s="1807"/>
      <c r="BG586" s="1808"/>
      <c r="BH586" s="1763"/>
      <c r="BI586" s="1764"/>
      <c r="BJ586" s="1788">
        <f>IF(AP536=1,1,0)</f>
        <v>0</v>
      </c>
      <c r="BK586" s="1789"/>
      <c r="BL586" s="1807"/>
      <c r="BM586" s="1808"/>
      <c r="BN586" s="1807"/>
      <c r="BO586" s="1808"/>
      <c r="BP586" s="1768">
        <f>IF(AND(T612&gt;0,AP536&gt;0),1,0)</f>
        <v>1</v>
      </c>
      <c r="BQ586" s="1770"/>
    </row>
    <row r="587" spans="5:96" s="4" customFormat="1" ht="12.75" customHeight="1">
      <c r="E587" s="1816"/>
      <c r="F587" s="1817"/>
      <c r="G587" s="1817"/>
      <c r="H587" s="1817"/>
      <c r="I587" s="1817"/>
      <c r="J587" s="1818"/>
      <c r="K587" s="1907" t="str">
        <f>IF(OR(Application!D211="Rural",Application!D211="Rural apportionment (Section 514)",Application!D211="Rural apportionment (Section 515)",Application!D211="Rural apportionment (HOME)",Application!D211="Rural apportionment (CDBG-DR)",Application!D211="Rural (Native American apportionment)"),50,"")</f>
        <v/>
      </c>
      <c r="L587" s="1908"/>
      <c r="M587" s="1909" t="s">
        <v>2287</v>
      </c>
      <c r="N587" s="1909"/>
      <c r="O587" s="1909"/>
      <c r="P587" s="1910"/>
      <c r="Q587" s="1780">
        <f t="shared" si="6"/>
        <v>0</v>
      </c>
      <c r="R587" s="1781"/>
      <c r="S587" s="1781"/>
      <c r="T587" s="1781"/>
      <c r="U587" s="1781"/>
      <c r="V587" s="1782"/>
      <c r="W587" s="1777">
        <f>IF(FLOOR(Q587,5)&gt;50,50,FLOOR(Q587,5))</f>
        <v>0</v>
      </c>
      <c r="X587" s="1778"/>
      <c r="Y587" s="1778"/>
      <c r="Z587" s="1778"/>
      <c r="AA587" s="1778"/>
      <c r="AB587" s="1779"/>
      <c r="AC587" s="1777">
        <f>IFERROR(IF(W587&gt;0,INDEX($AT$507:$BA$521,MATCH(W587,$AS$507:$AS$521,0),MATCH(K587,$AT$506:$BA$506,0)),0),0)</f>
        <v>0</v>
      </c>
      <c r="AD587" s="1778"/>
      <c r="AE587" s="1778"/>
      <c r="AF587" s="1778"/>
      <c r="AG587" s="1778"/>
      <c r="AH587" s="1779"/>
      <c r="AN587" s="279"/>
      <c r="AP587" s="1708"/>
      <c r="AQ587" s="1709"/>
      <c r="AR587" s="1709"/>
      <c r="AS587" s="1709"/>
      <c r="AT587" s="1710"/>
      <c r="AX587" s="1807"/>
      <c r="AY587" s="1808"/>
      <c r="AZ587" s="1763"/>
      <c r="BA587" s="1764"/>
      <c r="BB587" s="1807"/>
      <c r="BC587" s="1808"/>
      <c r="BD587" s="1763"/>
      <c r="BE587" s="1764"/>
      <c r="BF587" s="1807"/>
      <c r="BG587" s="1808"/>
      <c r="BH587" s="1763"/>
      <c r="BI587" s="1764"/>
      <c r="BJ587" s="1807"/>
      <c r="BK587" s="1808"/>
      <c r="BL587" s="1807"/>
      <c r="BM587" s="1808"/>
      <c r="BN587" s="1788">
        <f>IF(AP537=1,1,0)</f>
        <v>0</v>
      </c>
      <c r="BO587" s="1789"/>
      <c r="BP587" s="1763"/>
      <c r="BQ587" s="1764"/>
    </row>
    <row r="588" spans="5:96" s="4" customFormat="1" ht="12.75" customHeight="1">
      <c r="E588" s="1816"/>
      <c r="F588" s="1817"/>
      <c r="G588" s="1817"/>
      <c r="H588" s="1817"/>
      <c r="I588" s="1817"/>
      <c r="J588" s="1818"/>
      <c r="K588" s="1907" t="str">
        <f>IF(OR(Application!D211="Rural",Application!D211="Rural apportionment (Section 514)",Application!D211="Rural apportionment (Section 515)",Application!D211="Rural apportionment (HOME)",Application!D211="Rural apportionment (CDBG-DR)",Application!D211="Rural (Native American apportionment)"),55,"")</f>
        <v/>
      </c>
      <c r="L588" s="1908"/>
      <c r="M588" s="1909" t="s">
        <v>2287</v>
      </c>
      <c r="N588" s="1909"/>
      <c r="O588" s="1909"/>
      <c r="P588" s="1910"/>
      <c r="Q588" s="1780">
        <f t="shared" si="6"/>
        <v>0</v>
      </c>
      <c r="R588" s="1781"/>
      <c r="S588" s="1781"/>
      <c r="T588" s="1781"/>
      <c r="U588" s="1781"/>
      <c r="V588" s="1782"/>
      <c r="W588" s="1777">
        <f>IF(FLOOR(Q588,5)&gt;40,40,FLOOR(Q588,5))</f>
        <v>0</v>
      </c>
      <c r="X588" s="1778"/>
      <c r="Y588" s="1778"/>
      <c r="Z588" s="1778"/>
      <c r="AA588" s="1778"/>
      <c r="AB588" s="1779"/>
      <c r="AC588" s="1777">
        <f>IFERROR(IF(W588&gt;0,INDEX($AT$507:$BA$521,MATCH(W588,$AS$507:$AS$521,0),MATCH(K588,$AT$506:$BA$506,0)),0),0)</f>
        <v>0</v>
      </c>
      <c r="AD588" s="1778"/>
      <c r="AE588" s="1778"/>
      <c r="AF588" s="1778"/>
      <c r="AG588" s="1778"/>
      <c r="AH588" s="1779"/>
      <c r="AN588" s="279"/>
      <c r="AX588" s="1788">
        <f>SUM(AX583:AY587)</f>
        <v>0</v>
      </c>
      <c r="AY588" s="1789"/>
      <c r="AZ588" s="1768">
        <f>SUM(AZ584:BA587)</f>
        <v>0</v>
      </c>
      <c r="BA588" s="1770"/>
      <c r="BB588" s="1788">
        <f>SUM(BB584:BC587)</f>
        <v>0</v>
      </c>
      <c r="BC588" s="1789"/>
      <c r="BD588" s="1768">
        <f>SUM(BD583:BE587)</f>
        <v>0</v>
      </c>
      <c r="BE588" s="1770"/>
      <c r="BF588" s="1788">
        <f>SUM(BF585:BG587)</f>
        <v>1</v>
      </c>
      <c r="BG588" s="1789"/>
      <c r="BH588" s="1768">
        <f>SUM(BH583:BI587)</f>
        <v>1</v>
      </c>
      <c r="BI588" s="1770"/>
      <c r="BJ588" s="1788">
        <f>SUM(BJ583:BK587)</f>
        <v>0</v>
      </c>
      <c r="BK588" s="1789"/>
      <c r="BL588" s="1768">
        <f>SUM(BL583:BM587)</f>
        <v>2</v>
      </c>
      <c r="BM588" s="1770"/>
      <c r="BN588" s="1788">
        <f>SUM(BN583:BO587)</f>
        <v>0</v>
      </c>
      <c r="BO588" s="1789"/>
      <c r="BP588" s="1768">
        <f>SUM(BP583:BQ587)</f>
        <v>3</v>
      </c>
      <c r="BQ588" s="1770"/>
    </row>
    <row r="589" spans="5:96" s="4" customFormat="1" ht="12.75" customHeight="1">
      <c r="E589" s="1705"/>
      <c r="F589" s="1706"/>
      <c r="G589" s="1706"/>
      <c r="H589" s="1706"/>
      <c r="I589" s="1706"/>
      <c r="J589" s="1707"/>
      <c r="K589" s="1708" t="s">
        <v>2114</v>
      </c>
      <c r="L589" s="1709"/>
      <c r="M589" s="1709"/>
      <c r="N589" s="1709"/>
      <c r="O589" s="1709"/>
      <c r="P589" s="1710"/>
      <c r="Q589" s="1780">
        <f t="shared" si="6"/>
        <v>0</v>
      </c>
      <c r="R589" s="1781"/>
      <c r="S589" s="1781"/>
      <c r="T589" s="1781"/>
      <c r="U589" s="1781"/>
      <c r="V589" s="1782"/>
      <c r="W589" s="1777">
        <f t="shared" si="7"/>
        <v>0</v>
      </c>
      <c r="X589" s="1778"/>
      <c r="Y589" s="1778"/>
      <c r="Z589" s="1778"/>
      <c r="AA589" s="1778"/>
      <c r="AB589" s="1779"/>
      <c r="AC589" s="1777">
        <v>0</v>
      </c>
      <c r="AD589" s="1778"/>
      <c r="AE589" s="1778"/>
      <c r="AF589" s="1778"/>
      <c r="AG589" s="1778"/>
      <c r="AH589" s="1779"/>
      <c r="AN589" s="279"/>
      <c r="AX589" s="1810">
        <f>IF(AND(AX588=1,AZ588&gt;1),1,0)</f>
        <v>0</v>
      </c>
      <c r="AY589" s="1811"/>
      <c r="AZ589" s="1811"/>
      <c r="BA589" s="1812"/>
      <c r="BB589" s="1810">
        <f>IF(AND(BB588=1,BD588&gt;=1),1,0)</f>
        <v>0</v>
      </c>
      <c r="BC589" s="1811"/>
      <c r="BD589" s="1811"/>
      <c r="BE589" s="1812"/>
      <c r="BF589" s="1810">
        <f>IF(AND(BF588=1,BH588&gt;=1),1,0)</f>
        <v>1</v>
      </c>
      <c r="BG589" s="1811"/>
      <c r="BH589" s="1811"/>
      <c r="BI589" s="1812"/>
      <c r="BJ589" s="1810">
        <f>IF(AND(BJ588=1,BL588&gt;=1),1,0)</f>
        <v>0</v>
      </c>
      <c r="BK589" s="1811"/>
      <c r="BL589" s="1811"/>
      <c r="BM589" s="1812"/>
      <c r="BN589" s="1810">
        <f>IF(AND(BN588=1,BP588&gt;=1),1,0)</f>
        <v>0</v>
      </c>
      <c r="BO589" s="1811"/>
      <c r="BP589" s="1811"/>
      <c r="BQ589" s="1812"/>
    </row>
    <row r="590" spans="5:96" s="4" customFormat="1" ht="12.75" customHeight="1">
      <c r="E590" s="1705"/>
      <c r="F590" s="1706"/>
      <c r="G590" s="1706"/>
      <c r="H590" s="1706"/>
      <c r="I590" s="1706"/>
      <c r="J590" s="1707"/>
      <c r="K590" s="1708" t="s">
        <v>2115</v>
      </c>
      <c r="L590" s="1709"/>
      <c r="M590" s="1709"/>
      <c r="N590" s="1709"/>
      <c r="O590" s="1709"/>
      <c r="P590" s="1710"/>
      <c r="Q590" s="1780">
        <f>IF(ISERROR(IF((((E590/$BJ$528)*100)&gt;100),"EXCESSIVE VALUE",(E590/$BJ$528)*100)),0,IF((((E590/$BJ$528)*100)&gt;100),"EXCESSIVE VALUE",(E590/$BJ$528)*100))</f>
        <v>0</v>
      </c>
      <c r="R590" s="1781"/>
      <c r="S590" s="1781"/>
      <c r="T590" s="1781"/>
      <c r="U590" s="1781"/>
      <c r="V590" s="1782"/>
      <c r="W590" s="1777">
        <f>IF(FLOOR(Q590,5)&gt;80,80,FLOOR(Q590,5))</f>
        <v>0</v>
      </c>
      <c r="X590" s="1778"/>
      <c r="Y590" s="1778"/>
      <c r="Z590" s="1778"/>
      <c r="AA590" s="1778"/>
      <c r="AB590" s="1779"/>
      <c r="AC590" s="1777">
        <v>0</v>
      </c>
      <c r="AD590" s="1778"/>
      <c r="AE590" s="1778"/>
      <c r="AF590" s="1778"/>
      <c r="AG590" s="1778"/>
      <c r="AH590" s="1779"/>
      <c r="AN590" s="279"/>
      <c r="AX590"/>
      <c r="AY590"/>
      <c r="AZ590"/>
      <c r="BA590"/>
      <c r="BB590"/>
      <c r="BC590"/>
      <c r="BD590"/>
      <c r="BE590"/>
      <c r="BF590"/>
      <c r="BG590"/>
      <c r="BH590"/>
      <c r="BI590" s="34" t="s">
        <v>610</v>
      </c>
      <c r="BJ590" s="1810">
        <f>AX589+BB589+BF589+BJ589+BN589</f>
        <v>1</v>
      </c>
      <c r="BK590" s="1811"/>
      <c r="BL590" s="1811"/>
      <c r="BM590" s="1812"/>
      <c r="BN590"/>
      <c r="BO590"/>
      <c r="BP590"/>
      <c r="BQ590"/>
    </row>
    <row r="591" spans="5:96" s="4" customFormat="1" ht="12.75" customHeight="1">
      <c r="E591" s="1705"/>
      <c r="F591" s="1706"/>
      <c r="G591" s="1706"/>
      <c r="H591" s="1706"/>
      <c r="I591" s="1706"/>
      <c r="J591" s="1707"/>
      <c r="K591" s="1708" t="s">
        <v>2116</v>
      </c>
      <c r="L591" s="1709"/>
      <c r="M591" s="1709"/>
      <c r="N591" s="1709"/>
      <c r="O591" s="1709"/>
      <c r="P591" s="1710"/>
      <c r="Q591" s="1780">
        <f>IF(ISERROR(IF((((E591/$BJ$528)*100)&gt;100),"EXCESSIVE VALUE",(E591/$BJ$528)*100)),0,IF((((E591/$BJ$528)*100)&gt;100),"EXCESSIVE VALUE",(E591/$BJ$528)*100))</f>
        <v>0</v>
      </c>
      <c r="R591" s="1781"/>
      <c r="S591" s="1781"/>
      <c r="T591" s="1781"/>
      <c r="U591" s="1781"/>
      <c r="V591" s="1782"/>
      <c r="W591" s="1777">
        <f>IF(FLOOR(Q591,5)&gt;80,80,FLOOR(Q591,5))</f>
        <v>0</v>
      </c>
      <c r="X591" s="1778"/>
      <c r="Y591" s="1778"/>
      <c r="Z591" s="1778"/>
      <c r="AA591" s="1778"/>
      <c r="AB591" s="1779"/>
      <c r="AC591" s="1777">
        <v>0</v>
      </c>
      <c r="AD591" s="1778"/>
      <c r="AE591" s="1778"/>
      <c r="AF591" s="1778"/>
      <c r="AG591" s="1778"/>
      <c r="AH591" s="1779"/>
      <c r="AN591" s="279"/>
      <c r="AX591"/>
      <c r="AY591"/>
      <c r="AZ591"/>
      <c r="BA591"/>
      <c r="BB591"/>
      <c r="BC591"/>
      <c r="BD591"/>
      <c r="BE591"/>
      <c r="BF591"/>
      <c r="BG591"/>
      <c r="BI591"/>
      <c r="BJ591" t="s">
        <v>609</v>
      </c>
      <c r="BK591"/>
      <c r="BL591"/>
      <c r="BM591"/>
      <c r="BN591"/>
      <c r="BO591"/>
      <c r="BP591"/>
      <c r="BQ591"/>
    </row>
    <row r="592" spans="5:96" s="4" customFormat="1" ht="12.75" customHeight="1">
      <c r="E592" s="1813">
        <f>SUM(E581:J591)</f>
        <v>49</v>
      </c>
      <c r="F592" s="1814"/>
      <c r="G592" s="1814"/>
      <c r="H592" s="1814"/>
      <c r="I592" s="1814"/>
      <c r="J592" s="1815"/>
      <c r="K592" s="89"/>
      <c r="L592" s="89"/>
      <c r="M592" s="89"/>
      <c r="N592" s="89"/>
      <c r="O592" s="89"/>
      <c r="P592" s="89"/>
      <c r="Q592" s="89"/>
      <c r="R592" s="89"/>
      <c r="S592" s="89"/>
      <c r="T592" s="89"/>
      <c r="U592" s="93"/>
      <c r="V592" s="93"/>
      <c r="W592" s="93"/>
      <c r="X592" s="93"/>
      <c r="Y592" s="93"/>
      <c r="Z592" s="89"/>
      <c r="AA592" s="93"/>
      <c r="AB592" s="60" t="s">
        <v>605</v>
      </c>
      <c r="AC592" s="1798">
        <f>IF(SUM(AC581:AH591)&gt;0,SUM(AC581:AH591),0)</f>
        <v>77.5</v>
      </c>
      <c r="AD592" s="1799"/>
      <c r="AE592" s="1799"/>
      <c r="AF592" s="1799"/>
      <c r="AG592" s="1799"/>
      <c r="AH592" s="1800"/>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731" t="s">
        <v>103</v>
      </c>
      <c r="AH596" s="1731"/>
      <c r="AI596" s="1731"/>
      <c r="AJ596" s="1731"/>
      <c r="AK596" s="5"/>
      <c r="AL596" s="5"/>
      <c r="AM596" s="5"/>
      <c r="AN596" s="279"/>
    </row>
    <row r="597" spans="1:64" s="4" customFormat="1" ht="12.75" customHeight="1">
      <c r="B597" s="1720" t="s">
        <v>2104</v>
      </c>
      <c r="C597" s="1720"/>
      <c r="D597" s="1720"/>
      <c r="E597" s="1720"/>
      <c r="F597" s="1720"/>
      <c r="G597" s="1720"/>
      <c r="H597" s="1720"/>
      <c r="I597" s="1720"/>
      <c r="J597" s="1720"/>
      <c r="K597" s="1720"/>
      <c r="L597" s="1720"/>
      <c r="M597" s="1720"/>
      <c r="N597" s="1720"/>
      <c r="O597" s="1720"/>
      <c r="P597" s="1720"/>
      <c r="Q597" s="1720"/>
      <c r="R597" s="1720"/>
      <c r="S597" s="1720"/>
      <c r="T597" s="1720"/>
      <c r="U597" s="1720"/>
      <c r="V597" s="1720"/>
      <c r="W597" s="1720"/>
      <c r="X597" s="1720"/>
      <c r="Y597" s="1720"/>
      <c r="Z597" s="1720"/>
      <c r="AA597" s="1720"/>
      <c r="AB597" s="1720"/>
      <c r="AC597" s="1720"/>
      <c r="AD597" s="1720"/>
      <c r="AE597" s="1720"/>
      <c r="AF597" s="1720"/>
      <c r="AG597" s="1720"/>
      <c r="AH597" s="1720"/>
      <c r="AI597" s="21"/>
      <c r="AJ597" s="21"/>
      <c r="AK597"/>
      <c r="AL597"/>
      <c r="AM597"/>
      <c r="AN597" s="279"/>
    </row>
    <row r="598" spans="1:64" s="4" customFormat="1" ht="12.75" customHeight="1">
      <c r="A598" s="21"/>
      <c r="B598" s="1720"/>
      <c r="C598" s="1720"/>
      <c r="D598" s="1720"/>
      <c r="E598" s="1720"/>
      <c r="F598" s="1720"/>
      <c r="G598" s="1720"/>
      <c r="H598" s="1720"/>
      <c r="I598" s="1720"/>
      <c r="J598" s="1720"/>
      <c r="K598" s="1720"/>
      <c r="L598" s="1720"/>
      <c r="M598" s="1720"/>
      <c r="N598" s="1720"/>
      <c r="O598" s="1720"/>
      <c r="P598" s="1720"/>
      <c r="Q598" s="1720"/>
      <c r="R598" s="1720"/>
      <c r="S598" s="1720"/>
      <c r="T598" s="1720"/>
      <c r="U598" s="1720"/>
      <c r="V598" s="1720"/>
      <c r="W598" s="1720"/>
      <c r="X598" s="1720"/>
      <c r="Y598" s="1720"/>
      <c r="Z598" s="1720"/>
      <c r="AA598" s="1720"/>
      <c r="AB598" s="1720"/>
      <c r="AC598" s="1720"/>
      <c r="AD598" s="1720"/>
      <c r="AE598" s="1720"/>
      <c r="AF598" s="1720"/>
      <c r="AG598" s="1720"/>
      <c r="AH598" s="1720"/>
      <c r="AI598" s="21"/>
      <c r="AJ598" s="21"/>
      <c r="AK598"/>
      <c r="AL598"/>
      <c r="AM598"/>
      <c r="AN598" s="279"/>
    </row>
    <row r="599" spans="1:64" s="4" customFormat="1" ht="12.75" customHeight="1">
      <c r="A599" s="21"/>
      <c r="B599" s="1720"/>
      <c r="C599" s="1720"/>
      <c r="D599" s="1720"/>
      <c r="E599" s="1720"/>
      <c r="F599" s="1720"/>
      <c r="G599" s="1720"/>
      <c r="H599" s="1720"/>
      <c r="I599" s="1720"/>
      <c r="J599" s="1720"/>
      <c r="K599" s="1720"/>
      <c r="L599" s="1720"/>
      <c r="M599" s="1720"/>
      <c r="N599" s="1720"/>
      <c r="O599" s="1720"/>
      <c r="P599" s="1720"/>
      <c r="Q599" s="1720"/>
      <c r="R599" s="1720"/>
      <c r="S599" s="1720"/>
      <c r="T599" s="1720"/>
      <c r="U599" s="1720"/>
      <c r="V599" s="1720"/>
      <c r="W599" s="1720"/>
      <c r="X599" s="1720"/>
      <c r="Y599" s="1720"/>
      <c r="Z599" s="1720"/>
      <c r="AA599" s="1720"/>
      <c r="AB599" s="1720"/>
      <c r="AC599" s="1720"/>
      <c r="AD599" s="1720"/>
      <c r="AE599" s="1720"/>
      <c r="AF599" s="1720"/>
      <c r="AG599" s="1720"/>
      <c r="AH599" s="1720"/>
      <c r="AI599" s="21"/>
      <c r="AJ599" s="21"/>
      <c r="AK599"/>
      <c r="AL599"/>
      <c r="AM599"/>
      <c r="AN599" s="279"/>
    </row>
    <row r="600" spans="1:64" s="4" customFormat="1" ht="12.75" customHeight="1">
      <c r="A600" s="21"/>
      <c r="B600" s="1720"/>
      <c r="C600" s="1720"/>
      <c r="D600" s="1720"/>
      <c r="E600" s="1720"/>
      <c r="F600" s="1720"/>
      <c r="G600" s="1720"/>
      <c r="H600" s="1720"/>
      <c r="I600" s="1720"/>
      <c r="J600" s="1720"/>
      <c r="K600" s="1720"/>
      <c r="L600" s="1720"/>
      <c r="M600" s="1720"/>
      <c r="N600" s="1720"/>
      <c r="O600" s="1720"/>
      <c r="P600" s="1720"/>
      <c r="Q600" s="1720"/>
      <c r="R600" s="1720"/>
      <c r="S600" s="1720"/>
      <c r="T600" s="1720"/>
      <c r="U600" s="1720"/>
      <c r="V600" s="1720"/>
      <c r="W600" s="1720"/>
      <c r="X600" s="1720"/>
      <c r="Y600" s="1720"/>
      <c r="Z600" s="1720"/>
      <c r="AA600" s="1720"/>
      <c r="AB600" s="1720"/>
      <c r="AC600" s="1720"/>
      <c r="AD600" s="1720"/>
      <c r="AE600" s="1720"/>
      <c r="AF600" s="1720"/>
      <c r="AG600" s="1720"/>
      <c r="AH600" s="1720"/>
      <c r="AI600" s="21"/>
      <c r="AJ600" s="21"/>
      <c r="AK600"/>
      <c r="AL600"/>
      <c r="AM600"/>
      <c r="AN600" s="666"/>
    </row>
    <row r="601" spans="1:64">
      <c r="B601" s="1720"/>
      <c r="C601" s="1720"/>
      <c r="D601" s="1720"/>
      <c r="E601" s="1720"/>
      <c r="F601" s="1720"/>
      <c r="G601" s="1720"/>
      <c r="H601" s="1720"/>
      <c r="I601" s="1720"/>
      <c r="J601" s="1720"/>
      <c r="K601" s="1720"/>
      <c r="L601" s="1720"/>
      <c r="M601" s="1720"/>
      <c r="N601" s="1720"/>
      <c r="O601" s="1720"/>
      <c r="P601" s="1720"/>
      <c r="Q601" s="1720"/>
      <c r="R601" s="1720"/>
      <c r="S601" s="1720"/>
      <c r="T601" s="1720"/>
      <c r="U601" s="1720"/>
      <c r="V601" s="1720"/>
      <c r="W601" s="1720"/>
      <c r="X601" s="1720"/>
      <c r="Y601" s="1720"/>
      <c r="Z601" s="1720"/>
      <c r="AA601" s="1720"/>
      <c r="AB601" s="1720"/>
      <c r="AC601" s="1720"/>
      <c r="AD601" s="1720"/>
      <c r="AE601" s="1720"/>
      <c r="AF601" s="1720"/>
      <c r="AG601" s="1720"/>
      <c r="AH601" s="1720"/>
      <c r="AK601"/>
      <c r="AL601"/>
      <c r="AM601"/>
      <c r="BD601" s="21"/>
      <c r="BE601" s="21"/>
      <c r="BF601" s="21"/>
      <c r="BG601" s="21"/>
      <c r="BH601" s="21"/>
    </row>
    <row r="602" spans="1:64" ht="12.75" customHeight="1">
      <c r="B602" s="1720"/>
      <c r="C602" s="1720"/>
      <c r="D602" s="1720"/>
      <c r="E602" s="1720"/>
      <c r="F602" s="1720"/>
      <c r="G602" s="1720"/>
      <c r="H602" s="1720"/>
      <c r="I602" s="1720"/>
      <c r="J602" s="1720"/>
      <c r="K602" s="1720"/>
      <c r="L602" s="1720"/>
      <c r="M602" s="1720"/>
      <c r="N602" s="1720"/>
      <c r="O602" s="1720"/>
      <c r="P602" s="1720"/>
      <c r="Q602" s="1720"/>
      <c r="R602" s="1720"/>
      <c r="S602" s="1720"/>
      <c r="T602" s="1720"/>
      <c r="U602" s="1720"/>
      <c r="V602" s="1720"/>
      <c r="W602" s="1720"/>
      <c r="X602" s="1720"/>
      <c r="Y602" s="1720"/>
      <c r="Z602" s="1720"/>
      <c r="AA602" s="1720"/>
      <c r="AB602" s="1720"/>
      <c r="AC602" s="1720"/>
      <c r="AD602" s="1720"/>
      <c r="AE602" s="1720"/>
      <c r="AF602" s="1720"/>
      <c r="AG602" s="1720"/>
      <c r="AH602" s="1720"/>
    </row>
    <row r="603" spans="1:64" ht="12.75" customHeight="1">
      <c r="E603" s="160"/>
    </row>
    <row r="604" spans="1:64">
      <c r="J604" s="1819" t="s">
        <v>795</v>
      </c>
      <c r="K604" s="1820"/>
      <c r="L604" s="1820"/>
      <c r="M604" s="1820"/>
      <c r="N604" s="1821"/>
      <c r="O604" s="1545" t="s">
        <v>1503</v>
      </c>
      <c r="P604" s="1546"/>
      <c r="Q604" s="1546"/>
      <c r="R604" s="1546"/>
      <c r="S604" s="1547"/>
      <c r="T604" s="1545" t="s">
        <v>1757</v>
      </c>
      <c r="U604" s="1546"/>
      <c r="V604" s="1546"/>
      <c r="W604" s="1546"/>
      <c r="X604" s="1547"/>
      <c r="Y604" s="1545" t="s">
        <v>1504</v>
      </c>
      <c r="Z604" s="1546"/>
      <c r="AA604" s="1546"/>
      <c r="AB604" s="1546"/>
      <c r="AC604" s="1547"/>
      <c r="AF604"/>
      <c r="AG604"/>
      <c r="AH604"/>
      <c r="AI604"/>
      <c r="AJ604"/>
    </row>
    <row r="605" spans="1:64">
      <c r="D605"/>
      <c r="E605"/>
      <c r="F605"/>
      <c r="G605"/>
      <c r="H605"/>
      <c r="I605"/>
      <c r="J605" s="1794"/>
      <c r="K605" s="1795"/>
      <c r="L605" s="1795"/>
      <c r="M605" s="1795"/>
      <c r="N605" s="1822"/>
      <c r="O605" s="1548"/>
      <c r="P605" s="1549"/>
      <c r="Q605" s="1549"/>
      <c r="R605" s="1549"/>
      <c r="S605" s="1550"/>
      <c r="T605" s="1548"/>
      <c r="U605" s="1549"/>
      <c r="V605" s="1549"/>
      <c r="W605" s="1549"/>
      <c r="X605" s="1550"/>
      <c r="Y605" s="1548"/>
      <c r="Z605" s="1549"/>
      <c r="AA605" s="1549"/>
      <c r="AB605" s="1549"/>
      <c r="AC605" s="1550"/>
      <c r="AF605"/>
      <c r="AG605"/>
      <c r="AH605"/>
      <c r="AI605"/>
      <c r="AJ605"/>
      <c r="AO605" s="38" t="s">
        <v>2212</v>
      </c>
      <c r="AR605" s="21" t="b">
        <f>$Y$614&gt;=10%</f>
        <v>1</v>
      </c>
    </row>
    <row r="606" spans="1:64">
      <c r="I606"/>
      <c r="J606" s="1794"/>
      <c r="K606" s="1795"/>
      <c r="L606" s="1795"/>
      <c r="M606" s="1795"/>
      <c r="N606" s="1822"/>
      <c r="O606" s="1548"/>
      <c r="P606" s="1549"/>
      <c r="Q606" s="1549"/>
      <c r="R606" s="1549"/>
      <c r="S606" s="1550"/>
      <c r="T606" s="1548"/>
      <c r="U606" s="1549"/>
      <c r="V606" s="1549"/>
      <c r="W606" s="1549"/>
      <c r="X606" s="1550"/>
      <c r="Y606" s="1548"/>
      <c r="Z606" s="1549"/>
      <c r="AA606" s="1549"/>
      <c r="AB606" s="1549"/>
      <c r="AC606" s="1550"/>
      <c r="AD606"/>
      <c r="AF606"/>
      <c r="AG606"/>
      <c r="AH606"/>
      <c r="AI606"/>
      <c r="AJ606"/>
      <c r="AO606" s="38" t="s">
        <v>2213</v>
      </c>
      <c r="AR606" s="951">
        <f>ROUNDUP(($O$614*10%),0)</f>
        <v>5</v>
      </c>
    </row>
    <row r="607" spans="1:64" ht="19.5" customHeight="1">
      <c r="D607"/>
      <c r="E607"/>
      <c r="F607"/>
      <c r="G607"/>
      <c r="H607"/>
      <c r="I607"/>
      <c r="J607" s="1794"/>
      <c r="K607" s="1795"/>
      <c r="L607" s="1795"/>
      <c r="M607" s="1795"/>
      <c r="N607" s="1822"/>
      <c r="O607" s="1548"/>
      <c r="P607" s="1549"/>
      <c r="Q607" s="1549"/>
      <c r="R607" s="1549"/>
      <c r="S607" s="1550"/>
      <c r="T607" s="1548"/>
      <c r="U607" s="1549"/>
      <c r="V607" s="1549"/>
      <c r="W607" s="1549"/>
      <c r="X607" s="1550"/>
      <c r="Y607" s="1548"/>
      <c r="Z607" s="1549"/>
      <c r="AA607" s="1549"/>
      <c r="AB607" s="1549"/>
      <c r="AC607" s="1550"/>
      <c r="AD607"/>
      <c r="AF607"/>
      <c r="AG607"/>
      <c r="AH607"/>
      <c r="AI607"/>
      <c r="AJ607"/>
      <c r="AO607" s="38" t="s">
        <v>2214</v>
      </c>
      <c r="AR607" s="21" t="s">
        <v>2215</v>
      </c>
    </row>
    <row r="608" spans="1:64">
      <c r="D608"/>
      <c r="E608"/>
      <c r="F608"/>
      <c r="G608"/>
      <c r="H608"/>
      <c r="I608"/>
      <c r="J608" s="1823" t="s">
        <v>225</v>
      </c>
      <c r="K608" s="1824"/>
      <c r="L608" s="1824"/>
      <c r="M608" s="1824"/>
      <c r="N608" s="1825"/>
      <c r="O608" s="1708">
        <f>Application!CM634</f>
        <v>0</v>
      </c>
      <c r="P608" s="1709"/>
      <c r="Q608" s="1709"/>
      <c r="R608" s="1709"/>
      <c r="S608" s="1710"/>
      <c r="T608" s="1708">
        <f>Application!DR635</f>
        <v>0</v>
      </c>
      <c r="U608" s="1709"/>
      <c r="V608" s="1709"/>
      <c r="W608" s="1709"/>
      <c r="X608" s="1710"/>
      <c r="Y608" s="1784">
        <f t="shared" ref="Y608:Y614" si="8">IF(T608&gt;0,T608/O608,0)</f>
        <v>0</v>
      </c>
      <c r="Z608" s="1785"/>
      <c r="AA608" s="1785"/>
      <c r="AB608" s="1785"/>
      <c r="AC608" s="1786"/>
      <c r="AD608"/>
      <c r="AF608"/>
      <c r="AG608"/>
      <c r="AH608"/>
      <c r="AI608"/>
      <c r="AJ608"/>
      <c r="AO608" s="951">
        <f t="shared" ref="AO608:AO613" si="9">ROUNDUP((O608*10%),0)</f>
        <v>0</v>
      </c>
      <c r="AP608" s="204"/>
      <c r="AR608" s="952" t="b">
        <f>OR(SUM($T$608:T608)&gt;=$AR$606,T608&gt;=AO608)</f>
        <v>1</v>
      </c>
    </row>
    <row r="609" spans="1:60">
      <c r="D609"/>
      <c r="E609"/>
      <c r="F609"/>
      <c r="G609"/>
      <c r="H609"/>
      <c r="I609"/>
      <c r="J609" s="1823" t="s">
        <v>31</v>
      </c>
      <c r="K609" s="1824"/>
      <c r="L609" s="1824"/>
      <c r="M609" s="1824"/>
      <c r="N609" s="1825"/>
      <c r="O609" s="1708">
        <f>Application!CH634</f>
        <v>0</v>
      </c>
      <c r="P609" s="1709"/>
      <c r="Q609" s="1709"/>
      <c r="R609" s="1709"/>
      <c r="S609" s="1710"/>
      <c r="T609" s="1708">
        <f>Application!DM635</f>
        <v>0</v>
      </c>
      <c r="U609" s="1709"/>
      <c r="V609" s="1709"/>
      <c r="W609" s="1709"/>
      <c r="X609" s="1710"/>
      <c r="Y609" s="1784">
        <f t="shared" si="8"/>
        <v>0</v>
      </c>
      <c r="Z609" s="1785"/>
      <c r="AA609" s="1785"/>
      <c r="AB609" s="1785"/>
      <c r="AC609" s="1786"/>
      <c r="AD609"/>
      <c r="AF609"/>
      <c r="AG609"/>
      <c r="AH609"/>
      <c r="AI609"/>
      <c r="AJ609"/>
      <c r="AO609" s="951">
        <f t="shared" si="9"/>
        <v>0</v>
      </c>
      <c r="AP609" s="204"/>
      <c r="AR609" s="952" t="b">
        <f>OR(SUM($T$608:T609)&gt;=$AR$606,T609&gt;=AO609)</f>
        <v>1</v>
      </c>
    </row>
    <row r="610" spans="1:60">
      <c r="D610"/>
      <c r="E610"/>
      <c r="F610"/>
      <c r="G610"/>
      <c r="H610"/>
      <c r="I610"/>
      <c r="J610" s="1823" t="s">
        <v>265</v>
      </c>
      <c r="K610" s="1824"/>
      <c r="L610" s="1824"/>
      <c r="M610" s="1824"/>
      <c r="N610" s="1825"/>
      <c r="O610" s="1708">
        <f>Application!CC634</f>
        <v>13</v>
      </c>
      <c r="P610" s="1709"/>
      <c r="Q610" s="1709"/>
      <c r="R610" s="1709"/>
      <c r="S610" s="1710"/>
      <c r="T610" s="1708">
        <f>Application!DH635</f>
        <v>2</v>
      </c>
      <c r="U610" s="1709"/>
      <c r="V610" s="1709"/>
      <c r="W610" s="1709"/>
      <c r="X610" s="1710"/>
      <c r="Y610" s="1784">
        <f t="shared" si="8"/>
        <v>0.15384615384615385</v>
      </c>
      <c r="Z610" s="1785"/>
      <c r="AA610" s="1785"/>
      <c r="AB610" s="1785"/>
      <c r="AC610" s="1786"/>
      <c r="AD610"/>
      <c r="AF610"/>
      <c r="AG610"/>
      <c r="AH610"/>
      <c r="AI610"/>
      <c r="AJ610"/>
      <c r="AO610" s="951">
        <f t="shared" si="9"/>
        <v>2</v>
      </c>
      <c r="AP610" s="204"/>
      <c r="AR610" s="952" t="b">
        <f>OR(SUM($T$608:T610)&gt;=$AR$606,T610&gt;=AO610)</f>
        <v>1</v>
      </c>
    </row>
    <row r="611" spans="1:60">
      <c r="D611"/>
      <c r="E611"/>
      <c r="F611"/>
      <c r="G611"/>
      <c r="H611"/>
      <c r="I611"/>
      <c r="J611" s="1823" t="s">
        <v>264</v>
      </c>
      <c r="K611" s="1824"/>
      <c r="L611" s="1824"/>
      <c r="M611" s="1824"/>
      <c r="N611" s="1825"/>
      <c r="O611" s="1708">
        <f>Application!BX634</f>
        <v>23</v>
      </c>
      <c r="P611" s="1709"/>
      <c r="Q611" s="1709"/>
      <c r="R611" s="1709"/>
      <c r="S611" s="1710"/>
      <c r="T611" s="1708">
        <f>Application!DC635</f>
        <v>6</v>
      </c>
      <c r="U611" s="1709"/>
      <c r="V611" s="1709"/>
      <c r="W611" s="1709"/>
      <c r="X611" s="1710"/>
      <c r="Y611" s="1784">
        <f t="shared" si="8"/>
        <v>0.2608695652173913</v>
      </c>
      <c r="Z611" s="1785"/>
      <c r="AA611" s="1785"/>
      <c r="AB611" s="1785"/>
      <c r="AC611" s="1786"/>
      <c r="AD611"/>
      <c r="AF611"/>
      <c r="AG611"/>
      <c r="AH611"/>
      <c r="AI611"/>
      <c r="AJ611"/>
      <c r="AO611" s="951">
        <f t="shared" si="9"/>
        <v>3</v>
      </c>
      <c r="AP611" s="204"/>
      <c r="AR611" s="952" t="b">
        <f>OR(SUM($T$608:T611)&gt;=$AR$606,T611&gt;=AO611)</f>
        <v>1</v>
      </c>
    </row>
    <row r="612" spans="1:60">
      <c r="D612"/>
      <c r="E612"/>
      <c r="F612"/>
      <c r="G612"/>
      <c r="H612"/>
      <c r="I612"/>
      <c r="J612" s="1823" t="s">
        <v>263</v>
      </c>
      <c r="K612" s="1824"/>
      <c r="L612" s="1824"/>
      <c r="M612" s="1824"/>
      <c r="N612" s="1825"/>
      <c r="O612" s="1708">
        <f>Application!BS634</f>
        <v>13</v>
      </c>
      <c r="P612" s="1709"/>
      <c r="Q612" s="1709"/>
      <c r="R612" s="1709"/>
      <c r="S612" s="1710"/>
      <c r="T612" s="1708">
        <f>Application!CX635</f>
        <v>5</v>
      </c>
      <c r="U612" s="1709"/>
      <c r="V612" s="1709"/>
      <c r="W612" s="1709"/>
      <c r="X612" s="1710"/>
      <c r="Y612" s="1784">
        <f t="shared" si="8"/>
        <v>0.38461538461538464</v>
      </c>
      <c r="Z612" s="1785"/>
      <c r="AA612" s="1785"/>
      <c r="AB612" s="1785"/>
      <c r="AC612" s="1786"/>
      <c r="AD612"/>
      <c r="AF612"/>
      <c r="AG612"/>
      <c r="AH612"/>
      <c r="AI612"/>
      <c r="AJ612"/>
      <c r="AO612" s="951">
        <f t="shared" si="9"/>
        <v>2</v>
      </c>
      <c r="AP612" s="204"/>
      <c r="AR612" s="952" t="b">
        <f>OR(SUM($T$608:T612)&gt;=$AR$606,T612&gt;=AO612)</f>
        <v>1</v>
      </c>
    </row>
    <row r="613" spans="1:60">
      <c r="D613"/>
      <c r="E613"/>
      <c r="F613"/>
      <c r="G613"/>
      <c r="H613"/>
      <c r="I613"/>
      <c r="J613" s="1823" t="s">
        <v>615</v>
      </c>
      <c r="K613" s="1824"/>
      <c r="L613" s="1824"/>
      <c r="M613" s="1824"/>
      <c r="N613" s="1825"/>
      <c r="O613" s="1708">
        <f>Application!BN634</f>
        <v>0</v>
      </c>
      <c r="P613" s="1709"/>
      <c r="Q613" s="1709"/>
      <c r="R613" s="1709"/>
      <c r="S613" s="1710"/>
      <c r="T613" s="1708">
        <f>Application!CS635</f>
        <v>0</v>
      </c>
      <c r="U613" s="1709"/>
      <c r="V613" s="1709"/>
      <c r="W613" s="1709"/>
      <c r="X613" s="1710"/>
      <c r="Y613" s="1784">
        <f t="shared" si="8"/>
        <v>0</v>
      </c>
      <c r="Z613" s="1785"/>
      <c r="AA613" s="1785"/>
      <c r="AB613" s="1785"/>
      <c r="AC613" s="1786"/>
      <c r="AD613"/>
      <c r="AF613"/>
      <c r="AG613"/>
      <c r="AH613"/>
      <c r="AI613"/>
      <c r="AJ613"/>
      <c r="AO613" s="951">
        <f t="shared" si="9"/>
        <v>0</v>
      </c>
      <c r="AP613" s="204"/>
      <c r="AR613" s="952" t="b">
        <f>OR(SUM($T$608:T613)&gt;=$AR$606,T613&gt;=AO613)</f>
        <v>1</v>
      </c>
    </row>
    <row r="614" spans="1:60">
      <c r="D614"/>
      <c r="E614"/>
      <c r="F614"/>
      <c r="G614"/>
      <c r="H614"/>
      <c r="I614"/>
      <c r="J614" s="1169" t="s">
        <v>876</v>
      </c>
      <c r="K614" s="1170"/>
      <c r="L614" s="1170"/>
      <c r="M614" s="1170"/>
      <c r="N614" s="1171"/>
      <c r="O614" s="1699">
        <f>SUM(O608:S613)</f>
        <v>49</v>
      </c>
      <c r="P614" s="1700"/>
      <c r="Q614" s="1700"/>
      <c r="R614" s="1700"/>
      <c r="S614" s="1701"/>
      <c r="T614" s="1699">
        <f>SUM(T608:X613)</f>
        <v>13</v>
      </c>
      <c r="U614" s="1700"/>
      <c r="V614" s="1700"/>
      <c r="W614" s="1700"/>
      <c r="X614" s="1701"/>
      <c r="Y614" s="1835">
        <f t="shared" si="8"/>
        <v>0.26530612244897961</v>
      </c>
      <c r="Z614" s="1836"/>
      <c r="AA614" s="1836"/>
      <c r="AB614" s="1836"/>
      <c r="AC614" s="183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225" t="s">
        <v>1507</v>
      </c>
      <c r="B617" s="1226"/>
      <c r="C617" s="1226"/>
      <c r="D617" s="1226"/>
      <c r="E617" s="1226"/>
      <c r="F617" s="1226"/>
      <c r="G617" s="1226"/>
      <c r="H617" s="1226"/>
      <c r="I617" s="1226"/>
      <c r="J617" s="1226"/>
      <c r="K617" s="1226"/>
      <c r="L617" s="1226"/>
      <c r="M617" s="1226"/>
      <c r="N617" s="1226"/>
      <c r="O617" s="1226"/>
      <c r="P617" s="1226"/>
      <c r="Q617" s="1226"/>
      <c r="R617" s="1226"/>
      <c r="S617" s="1226"/>
      <c r="T617" s="1226"/>
      <c r="U617" s="1226"/>
      <c r="V617" s="1226"/>
      <c r="W617" s="1226"/>
      <c r="X617" s="1226"/>
      <c r="Y617" s="1226"/>
      <c r="Z617" s="1226"/>
      <c r="AA617" s="1226"/>
      <c r="AB617" s="1226"/>
      <c r="AC617" s="1226"/>
      <c r="AD617" s="1226"/>
      <c r="AE617" s="1226"/>
      <c r="AF617" s="1226"/>
      <c r="AG617" s="1226"/>
      <c r="AH617" s="1226"/>
      <c r="AI617" s="1227"/>
      <c r="AJ617" s="1845">
        <f>IF(AND(AR605,AR608,AR609,AR610,AR611,AR612,AR613),2,0)</f>
        <v>2</v>
      </c>
      <c r="AK617" s="1846"/>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8" t="s">
        <v>180</v>
      </c>
      <c r="B619" s="1838"/>
      <c r="C619" s="1838"/>
      <c r="D619" s="1838"/>
      <c r="E619" s="1838"/>
      <c r="F619" s="1838"/>
      <c r="G619" s="1838"/>
      <c r="H619" s="1838"/>
      <c r="I619" s="1838"/>
      <c r="J619" s="1838"/>
      <c r="K619" s="1838"/>
      <c r="L619" s="1838"/>
      <c r="M619" s="1838"/>
      <c r="N619" s="1838"/>
      <c r="O619" s="1838"/>
      <c r="P619" s="1838"/>
      <c r="Q619" s="1838"/>
      <c r="R619" s="1838"/>
      <c r="S619" s="1838"/>
      <c r="T619" s="1838"/>
      <c r="U619" s="1838"/>
      <c r="V619" s="1838"/>
      <c r="W619" s="1838"/>
      <c r="X619" s="1838"/>
      <c r="Y619" s="1838"/>
      <c r="Z619" s="1838"/>
      <c r="AA619" s="1838"/>
      <c r="AB619" s="1838"/>
      <c r="AC619" s="1838"/>
      <c r="AD619" s="1838"/>
      <c r="AE619" s="1838"/>
      <c r="AF619" s="1838"/>
      <c r="AG619" s="1838"/>
      <c r="AH619" s="1838"/>
      <c r="AI619" s="1838"/>
      <c r="AJ619" s="1838"/>
      <c r="AK619" s="1308">
        <f>IF($E$592=Application!G738,$AC$592+$AJ$617,0)</f>
        <v>79.5</v>
      </c>
      <c r="AL619" s="1309"/>
      <c r="AM619" s="1310"/>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98" t="s">
        <v>1508</v>
      </c>
      <c r="C623" s="1698"/>
      <c r="D623" s="1698"/>
      <c r="E623" s="1698"/>
      <c r="F623" s="1698"/>
      <c r="G623" s="1698"/>
      <c r="H623" s="1698"/>
      <c r="I623" s="1698"/>
      <c r="J623" s="1698"/>
      <c r="K623" s="1698"/>
      <c r="L623" s="1698"/>
      <c r="M623" s="1698"/>
      <c r="N623" s="1698"/>
      <c r="O623" s="1698"/>
      <c r="P623" s="1698"/>
      <c r="Q623" s="1698"/>
      <c r="R623" s="1698"/>
      <c r="S623" s="1698"/>
      <c r="T623" s="1698"/>
      <c r="U623" s="1698"/>
      <c r="V623" s="1698"/>
      <c r="W623" s="1698"/>
      <c r="X623" s="1698"/>
      <c r="Y623" s="1698"/>
      <c r="Z623" s="1698"/>
      <c r="AA623" s="1698"/>
      <c r="AB623" s="1698"/>
      <c r="AC623" s="1698"/>
      <c r="AD623" s="1698"/>
      <c r="AE623" s="1698"/>
      <c r="AF623" s="1698"/>
      <c r="AG623" s="1698"/>
      <c r="AH623" s="1698"/>
      <c r="AI623" s="1698"/>
      <c r="AJ623" s="1698"/>
      <c r="AK623" s="4"/>
      <c r="AL623" s="4"/>
      <c r="AM623" s="4"/>
    </row>
    <row r="624" spans="1:60">
      <c r="A624" s="4"/>
      <c r="B624" s="1698"/>
      <c r="C624" s="1698"/>
      <c r="D624" s="1698"/>
      <c r="E624" s="1698"/>
      <c r="F624" s="1698"/>
      <c r="G624" s="1698"/>
      <c r="H624" s="1698"/>
      <c r="I624" s="1698"/>
      <c r="J624" s="1698"/>
      <c r="K624" s="1698"/>
      <c r="L624" s="1698"/>
      <c r="M624" s="1698"/>
      <c r="N624" s="1698"/>
      <c r="O624" s="1698"/>
      <c r="P624" s="1698"/>
      <c r="Q624" s="1698"/>
      <c r="R624" s="1698"/>
      <c r="S624" s="1698"/>
      <c r="T624" s="1698"/>
      <c r="U624" s="1698"/>
      <c r="V624" s="1698"/>
      <c r="W624" s="1698"/>
      <c r="X624" s="1698"/>
      <c r="Y624" s="1698"/>
      <c r="Z624" s="1698"/>
      <c r="AA624" s="1698"/>
      <c r="AB624" s="1698"/>
      <c r="AC624" s="1698"/>
      <c r="AD624" s="1698"/>
      <c r="AE624" s="1698"/>
      <c r="AF624" s="1698"/>
      <c r="AG624" s="1698"/>
      <c r="AH624" s="1698"/>
      <c r="AI624" s="1698"/>
      <c r="AJ624" s="1698"/>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49" t="s">
        <v>108</v>
      </c>
      <c r="D627" s="1149"/>
      <c r="E627" s="183"/>
      <c r="F627" s="1928" t="s">
        <v>2205</v>
      </c>
      <c r="G627" s="1929"/>
      <c r="H627" s="1929"/>
      <c r="I627" s="1929"/>
      <c r="J627" s="1929"/>
      <c r="K627" s="1929"/>
      <c r="L627" s="1929"/>
      <c r="M627" s="1929"/>
      <c r="N627" s="1929"/>
      <c r="O627" s="1929"/>
      <c r="P627" s="1929"/>
      <c r="Q627" s="1929"/>
      <c r="R627" s="1929"/>
      <c r="S627" s="1929"/>
      <c r="T627" s="1929"/>
      <c r="U627" s="1929"/>
      <c r="V627" s="1929"/>
      <c r="W627" s="1929"/>
      <c r="X627" s="1929"/>
      <c r="Y627" s="1929"/>
      <c r="Z627" s="1929"/>
      <c r="AA627" s="1929"/>
      <c r="AB627" s="1929"/>
      <c r="AC627" s="1929"/>
      <c r="AD627" s="1929"/>
      <c r="AE627" s="1930"/>
      <c r="AF627" s="173"/>
      <c r="AG627" s="1044" t="s">
        <v>938</v>
      </c>
      <c r="AH627" s="1044"/>
      <c r="AI627" s="1044"/>
      <c r="AJ627" s="1044"/>
      <c r="AK627" s="4"/>
      <c r="AL627" s="4"/>
      <c r="AM627" s="4"/>
      <c r="AO627" s="4"/>
      <c r="AP627" s="35"/>
    </row>
    <row r="628" spans="1:44">
      <c r="A628" s="4"/>
      <c r="B628" s="20"/>
      <c r="C628" s="45"/>
      <c r="D628" s="4"/>
      <c r="E628" s="183"/>
      <c r="F628" s="1931"/>
      <c r="G628" s="1932"/>
      <c r="H628" s="1932"/>
      <c r="I628" s="1932"/>
      <c r="J628" s="1932"/>
      <c r="K628" s="1932"/>
      <c r="L628" s="1932"/>
      <c r="M628" s="1932"/>
      <c r="N628" s="1932"/>
      <c r="O628" s="1932"/>
      <c r="P628" s="1932"/>
      <c r="Q628" s="1932"/>
      <c r="R628" s="1932"/>
      <c r="S628" s="1932"/>
      <c r="T628" s="1932"/>
      <c r="U628" s="1932"/>
      <c r="V628" s="1932"/>
      <c r="W628" s="1932"/>
      <c r="X628" s="1932"/>
      <c r="Y628" s="1932"/>
      <c r="Z628" s="1932"/>
      <c r="AA628" s="1932"/>
      <c r="AB628" s="1932"/>
      <c r="AC628" s="1932"/>
      <c r="AD628" s="1932"/>
      <c r="AE628" s="1933"/>
      <c r="AF628" s="173"/>
      <c r="AG628" s="173"/>
      <c r="AH628" s="173"/>
      <c r="AI628" s="173"/>
      <c r="AJ628" s="4"/>
      <c r="AK628" s="4"/>
      <c r="AL628" s="4"/>
      <c r="AM628" s="4"/>
    </row>
    <row r="629" spans="1:44" ht="13.7" customHeight="1">
      <c r="A629" s="4"/>
      <c r="B629" s="20"/>
      <c r="C629" s="45"/>
      <c r="D629" s="4"/>
      <c r="E629" s="183"/>
      <c r="F629" s="1934"/>
      <c r="G629" s="1935"/>
      <c r="H629" s="1935"/>
      <c r="I629" s="1935"/>
      <c r="J629" s="1935"/>
      <c r="K629" s="1935"/>
      <c r="L629" s="1935"/>
      <c r="M629" s="1935"/>
      <c r="N629" s="1935"/>
      <c r="O629" s="1935"/>
      <c r="P629" s="1935"/>
      <c r="Q629" s="1935"/>
      <c r="R629" s="1935"/>
      <c r="S629" s="1935"/>
      <c r="T629" s="1935"/>
      <c r="U629" s="1935"/>
      <c r="V629" s="1935"/>
      <c r="W629" s="1935"/>
      <c r="X629" s="1935"/>
      <c r="Y629" s="1935"/>
      <c r="Z629" s="1935"/>
      <c r="AA629" s="1935"/>
      <c r="AB629" s="1935"/>
      <c r="AC629" s="1935"/>
      <c r="AD629" s="1935"/>
      <c r="AE629" s="1936"/>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98" t="s">
        <v>2210</v>
      </c>
      <c r="C631" s="1698"/>
      <c r="D631" s="1698"/>
      <c r="E631" s="1698"/>
      <c r="F631" s="1698"/>
      <c r="G631" s="1698"/>
      <c r="H631" s="1698"/>
      <c r="I631" s="1698"/>
      <c r="J631" s="1698"/>
      <c r="K631" s="1698"/>
      <c r="L631" s="1698"/>
      <c r="M631" s="1698"/>
      <c r="N631" s="1698"/>
      <c r="O631" s="1698"/>
      <c r="P631" s="1698"/>
      <c r="Q631" s="1698"/>
      <c r="R631" s="1698"/>
      <c r="S631" s="1698"/>
      <c r="T631" s="1698"/>
      <c r="U631" s="1698"/>
      <c r="V631" s="1698"/>
      <c r="W631" s="1698"/>
      <c r="X631" s="1698"/>
      <c r="Y631" s="1698"/>
      <c r="Z631" s="1698"/>
      <c r="AA631" s="1698"/>
      <c r="AB631" s="1698"/>
      <c r="AC631" s="1698"/>
      <c r="AD631" s="1698"/>
      <c r="AE631" s="1698"/>
      <c r="AF631" s="1698"/>
      <c r="AG631" s="1698"/>
      <c r="AH631" s="1698"/>
      <c r="AI631" s="173"/>
      <c r="AJ631" s="4"/>
      <c r="AK631" s="4"/>
      <c r="AL631" s="4"/>
      <c r="AM631" s="4"/>
      <c r="AN631" s="79"/>
    </row>
    <row r="632" spans="1:44" ht="13.7" customHeight="1">
      <c r="B632" s="1698"/>
      <c r="C632" s="1698"/>
      <c r="D632" s="1698"/>
      <c r="E632" s="1698"/>
      <c r="F632" s="1698"/>
      <c r="G632" s="1698"/>
      <c r="H632" s="1698"/>
      <c r="I632" s="1698"/>
      <c r="J632" s="1698"/>
      <c r="K632" s="1698"/>
      <c r="L632" s="1698"/>
      <c r="M632" s="1698"/>
      <c r="N632" s="1698"/>
      <c r="O632" s="1698"/>
      <c r="P632" s="1698"/>
      <c r="Q632" s="1698"/>
      <c r="R632" s="1698"/>
      <c r="S632" s="1698"/>
      <c r="T632" s="1698"/>
      <c r="U632" s="1698"/>
      <c r="V632" s="1698"/>
      <c r="W632" s="1698"/>
      <c r="X632" s="1698"/>
      <c r="Y632" s="1698"/>
      <c r="Z632" s="1698"/>
      <c r="AA632" s="1698"/>
      <c r="AB632" s="1698"/>
      <c r="AC632" s="1698"/>
      <c r="AD632" s="1698"/>
      <c r="AE632" s="1698"/>
      <c r="AF632" s="1698"/>
      <c r="AG632" s="1698"/>
      <c r="AH632" s="1698"/>
      <c r="AI632" s="160"/>
      <c r="AJ632" s="4"/>
      <c r="AK632" s="4"/>
      <c r="AL632" s="4"/>
      <c r="AM632" s="4"/>
      <c r="AN632" s="79"/>
      <c r="AR632" s="41"/>
    </row>
    <row r="633" spans="1:44" ht="13.7" customHeight="1">
      <c r="A633" s="4"/>
      <c r="B633" s="1698"/>
      <c r="C633" s="1698"/>
      <c r="D633" s="1698"/>
      <c r="E633" s="1698"/>
      <c r="F633" s="1698"/>
      <c r="G633" s="1698"/>
      <c r="H633" s="1698"/>
      <c r="I633" s="1698"/>
      <c r="J633" s="1698"/>
      <c r="K633" s="1698"/>
      <c r="L633" s="1698"/>
      <c r="M633" s="1698"/>
      <c r="N633" s="1698"/>
      <c r="O633" s="1698"/>
      <c r="P633" s="1698"/>
      <c r="Q633" s="1698"/>
      <c r="R633" s="1698"/>
      <c r="S633" s="1698"/>
      <c r="T633" s="1698"/>
      <c r="U633" s="1698"/>
      <c r="V633" s="1698"/>
      <c r="W633" s="1698"/>
      <c r="X633" s="1698"/>
      <c r="Y633" s="1698"/>
      <c r="Z633" s="1698"/>
      <c r="AA633" s="1698"/>
      <c r="AB633" s="1698"/>
      <c r="AC633" s="1698"/>
      <c r="AD633" s="1698"/>
      <c r="AE633" s="1698"/>
      <c r="AF633" s="1698"/>
      <c r="AG633" s="1698"/>
      <c r="AH633" s="1698"/>
      <c r="AI633" s="160"/>
      <c r="AJ633" s="4"/>
      <c r="AK633" s="4"/>
      <c r="AL633" s="4"/>
      <c r="AM633" s="4"/>
      <c r="AN633" s="79"/>
    </row>
    <row r="634" spans="1:44" ht="13.7" customHeight="1">
      <c r="A634" s="4"/>
      <c r="B634" s="1698"/>
      <c r="C634" s="1698"/>
      <c r="D634" s="1698"/>
      <c r="E634" s="1698"/>
      <c r="F634" s="1698"/>
      <c r="G634" s="1698"/>
      <c r="H634" s="1698"/>
      <c r="I634" s="1698"/>
      <c r="J634" s="1698"/>
      <c r="K634" s="1698"/>
      <c r="L634" s="1698"/>
      <c r="M634" s="1698"/>
      <c r="N634" s="1698"/>
      <c r="O634" s="1698"/>
      <c r="P634" s="1698"/>
      <c r="Q634" s="1698"/>
      <c r="R634" s="1698"/>
      <c r="S634" s="1698"/>
      <c r="T634" s="1698"/>
      <c r="U634" s="1698"/>
      <c r="V634" s="1698"/>
      <c r="W634" s="1698"/>
      <c r="X634" s="1698"/>
      <c r="Y634" s="1698"/>
      <c r="Z634" s="1698"/>
      <c r="AA634" s="1698"/>
      <c r="AB634" s="1698"/>
      <c r="AC634" s="1698"/>
      <c r="AD634" s="1698"/>
      <c r="AE634" s="1698"/>
      <c r="AF634" s="1698"/>
      <c r="AG634" s="1698"/>
      <c r="AH634" s="1698"/>
      <c r="AI634" s="160"/>
      <c r="AJ634" s="4"/>
      <c r="AK634" s="4"/>
      <c r="AL634" s="4"/>
      <c r="AM634" s="4"/>
      <c r="AN634" s="79"/>
    </row>
    <row r="635" spans="1:44" ht="13.7" customHeight="1">
      <c r="A635" s="4"/>
      <c r="B635" s="1698"/>
      <c r="C635" s="1698"/>
      <c r="D635" s="1698"/>
      <c r="E635" s="1698"/>
      <c r="F635" s="1698"/>
      <c r="G635" s="1698"/>
      <c r="H635" s="1698"/>
      <c r="I635" s="1698"/>
      <c r="J635" s="1698"/>
      <c r="K635" s="1698"/>
      <c r="L635" s="1698"/>
      <c r="M635" s="1698"/>
      <c r="N635" s="1698"/>
      <c r="O635" s="1698"/>
      <c r="P635" s="1698"/>
      <c r="Q635" s="1698"/>
      <c r="R635" s="1698"/>
      <c r="S635" s="1698"/>
      <c r="T635" s="1698"/>
      <c r="U635" s="1698"/>
      <c r="V635" s="1698"/>
      <c r="W635" s="1698"/>
      <c r="X635" s="1698"/>
      <c r="Y635" s="1698"/>
      <c r="Z635" s="1698"/>
      <c r="AA635" s="1698"/>
      <c r="AB635" s="1698"/>
      <c r="AC635" s="1698"/>
      <c r="AD635" s="1698"/>
      <c r="AE635" s="1698"/>
      <c r="AF635" s="1698"/>
      <c r="AG635" s="1698"/>
      <c r="AH635" s="1698"/>
      <c r="AI635" s="160"/>
      <c r="AJ635" s="4"/>
      <c r="AK635" s="4"/>
      <c r="AL635" s="4"/>
      <c r="AM635" s="4"/>
      <c r="AN635" s="79"/>
    </row>
    <row r="636" spans="1:44" ht="13.7" customHeight="1">
      <c r="A636" s="4"/>
      <c r="B636" s="1698"/>
      <c r="C636" s="1698"/>
      <c r="D636" s="1698"/>
      <c r="E636" s="1698"/>
      <c r="F636" s="1698"/>
      <c r="G636" s="1698"/>
      <c r="H636" s="1698"/>
      <c r="I636" s="1698"/>
      <c r="J636" s="1698"/>
      <c r="K636" s="1698"/>
      <c r="L636" s="1698"/>
      <c r="M636" s="1698"/>
      <c r="N636" s="1698"/>
      <c r="O636" s="1698"/>
      <c r="P636" s="1698"/>
      <c r="Q636" s="1698"/>
      <c r="R636" s="1698"/>
      <c r="S636" s="1698"/>
      <c r="T636" s="1698"/>
      <c r="U636" s="1698"/>
      <c r="V636" s="1698"/>
      <c r="W636" s="1698"/>
      <c r="X636" s="1698"/>
      <c r="Y636" s="1698"/>
      <c r="Z636" s="1698"/>
      <c r="AA636" s="1698"/>
      <c r="AB636" s="1698"/>
      <c r="AC636" s="1698"/>
      <c r="AD636" s="1698"/>
      <c r="AE636" s="1698"/>
      <c r="AF636" s="1698"/>
      <c r="AG636" s="1698"/>
      <c r="AH636" s="1698"/>
      <c r="AI636" s="160"/>
      <c r="AJ636" s="4"/>
      <c r="AK636" s="4"/>
      <c r="AL636" s="4"/>
      <c r="AM636" s="4"/>
      <c r="AN636" s="79"/>
    </row>
    <row r="637" spans="1:44" ht="13.7" customHeight="1">
      <c r="A637" s="4"/>
      <c r="B637" s="1698"/>
      <c r="C637" s="1698"/>
      <c r="D637" s="1698"/>
      <c r="E637" s="1698"/>
      <c r="F637" s="1698"/>
      <c r="G637" s="1698"/>
      <c r="H637" s="1698"/>
      <c r="I637" s="1698"/>
      <c r="J637" s="1698"/>
      <c r="K637" s="1698"/>
      <c r="L637" s="1698"/>
      <c r="M637" s="1698"/>
      <c r="N637" s="1698"/>
      <c r="O637" s="1698"/>
      <c r="P637" s="1698"/>
      <c r="Q637" s="1698"/>
      <c r="R637" s="1698"/>
      <c r="S637" s="1698"/>
      <c r="T637" s="1698"/>
      <c r="U637" s="1698"/>
      <c r="V637" s="1698"/>
      <c r="W637" s="1698"/>
      <c r="X637" s="1698"/>
      <c r="Y637" s="1698"/>
      <c r="Z637" s="1698"/>
      <c r="AA637" s="1698"/>
      <c r="AB637" s="1698"/>
      <c r="AC637" s="1698"/>
      <c r="AD637" s="1698"/>
      <c r="AE637" s="1698"/>
      <c r="AF637" s="1698"/>
      <c r="AG637" s="1698"/>
      <c r="AH637" s="1698"/>
      <c r="AI637" s="160"/>
      <c r="AJ637" s="4"/>
      <c r="AK637" s="4"/>
      <c r="AL637" s="4"/>
      <c r="AM637" s="4"/>
      <c r="AN637" s="79"/>
    </row>
    <row r="638" spans="1:44">
      <c r="A638" s="4"/>
      <c r="B638" s="1698"/>
      <c r="C638" s="1698"/>
      <c r="D638" s="1698"/>
      <c r="E638" s="1698"/>
      <c r="F638" s="1698"/>
      <c r="G638" s="1698"/>
      <c r="H638" s="1698"/>
      <c r="I638" s="1698"/>
      <c r="J638" s="1698"/>
      <c r="K638" s="1698"/>
      <c r="L638" s="1698"/>
      <c r="M638" s="1698"/>
      <c r="N638" s="1698"/>
      <c r="O638" s="1698"/>
      <c r="P638" s="1698"/>
      <c r="Q638" s="1698"/>
      <c r="R638" s="1698"/>
      <c r="S638" s="1698"/>
      <c r="T638" s="1698"/>
      <c r="U638" s="1698"/>
      <c r="V638" s="1698"/>
      <c r="W638" s="1698"/>
      <c r="X638" s="1698"/>
      <c r="Y638" s="1698"/>
      <c r="Z638" s="1698"/>
      <c r="AA638" s="1698"/>
      <c r="AB638" s="1698"/>
      <c r="AC638" s="1698"/>
      <c r="AD638" s="1698"/>
      <c r="AE638" s="1698"/>
      <c r="AF638" s="1698"/>
      <c r="AG638" s="1698"/>
      <c r="AH638" s="1698"/>
      <c r="AI638" s="160"/>
      <c r="AJ638" s="4"/>
      <c r="AK638" s="4"/>
      <c r="AL638" s="4"/>
      <c r="AM638" s="4"/>
      <c r="AN638" s="79"/>
    </row>
    <row r="639" spans="1:44">
      <c r="A639" s="4"/>
      <c r="B639" s="1698"/>
      <c r="C639" s="1698"/>
      <c r="D639" s="1698"/>
      <c r="E639" s="1698"/>
      <c r="F639" s="1698"/>
      <c r="G639" s="1698"/>
      <c r="H639" s="1698"/>
      <c r="I639" s="1698"/>
      <c r="J639" s="1698"/>
      <c r="K639" s="1698"/>
      <c r="L639" s="1698"/>
      <c r="M639" s="1698"/>
      <c r="N639" s="1698"/>
      <c r="O639" s="1698"/>
      <c r="P639" s="1698"/>
      <c r="Q639" s="1698"/>
      <c r="R639" s="1698"/>
      <c r="S639" s="1698"/>
      <c r="T639" s="1698"/>
      <c r="U639" s="1698"/>
      <c r="V639" s="1698"/>
      <c r="W639" s="1698"/>
      <c r="X639" s="1698"/>
      <c r="Y639" s="1698"/>
      <c r="Z639" s="1698"/>
      <c r="AA639" s="1698"/>
      <c r="AB639" s="1698"/>
      <c r="AC639" s="1698"/>
      <c r="AD639" s="1698"/>
      <c r="AE639" s="1698"/>
      <c r="AF639" s="1698"/>
      <c r="AG639" s="1698"/>
      <c r="AH639" s="1698"/>
      <c r="AI639" s="160"/>
      <c r="AJ639" s="4"/>
      <c r="AK639" s="4"/>
      <c r="AL639" s="4"/>
      <c r="AM639" s="4"/>
      <c r="AN639" s="79"/>
    </row>
    <row r="640" spans="1:44">
      <c r="A640" s="4"/>
      <c r="B640" s="1698"/>
      <c r="C640" s="1698"/>
      <c r="D640" s="1698"/>
      <c r="E640" s="1698"/>
      <c r="F640" s="1698"/>
      <c r="G640" s="1698"/>
      <c r="H640" s="1698"/>
      <c r="I640" s="1698"/>
      <c r="J640" s="1698"/>
      <c r="K640" s="1698"/>
      <c r="L640" s="1698"/>
      <c r="M640" s="1698"/>
      <c r="N640" s="1698"/>
      <c r="O640" s="1698"/>
      <c r="P640" s="1698"/>
      <c r="Q640" s="1698"/>
      <c r="R640" s="1698"/>
      <c r="S640" s="1698"/>
      <c r="T640" s="1698"/>
      <c r="U640" s="1698"/>
      <c r="V640" s="1698"/>
      <c r="W640" s="1698"/>
      <c r="X640" s="1698"/>
      <c r="Y640" s="1698"/>
      <c r="Z640" s="1698"/>
      <c r="AA640" s="1698"/>
      <c r="AB640" s="1698"/>
      <c r="AC640" s="1698"/>
      <c r="AD640" s="1698"/>
      <c r="AE640" s="1698"/>
      <c r="AF640" s="1698"/>
      <c r="AG640" s="1698"/>
      <c r="AH640" s="1698"/>
      <c r="AI640" s="160"/>
      <c r="AJ640" s="4"/>
      <c r="AK640" s="4"/>
      <c r="AL640" s="4"/>
      <c r="AM640" s="4"/>
      <c r="AN640" s="79"/>
    </row>
    <row r="641" spans="1:60">
      <c r="A641" s="4"/>
      <c r="B641" s="1698"/>
      <c r="C641" s="1698"/>
      <c r="D641" s="1698"/>
      <c r="E641" s="1698"/>
      <c r="F641" s="1698"/>
      <c r="G641" s="1698"/>
      <c r="H641" s="1698"/>
      <c r="I641" s="1698"/>
      <c r="J641" s="1698"/>
      <c r="K641" s="1698"/>
      <c r="L641" s="1698"/>
      <c r="M641" s="1698"/>
      <c r="N641" s="1698"/>
      <c r="O641" s="1698"/>
      <c r="P641" s="1698"/>
      <c r="Q641" s="1698"/>
      <c r="R641" s="1698"/>
      <c r="S641" s="1698"/>
      <c r="T641" s="1698"/>
      <c r="U641" s="1698"/>
      <c r="V641" s="1698"/>
      <c r="W641" s="1698"/>
      <c r="X641" s="1698"/>
      <c r="Y641" s="1698"/>
      <c r="Z641" s="1698"/>
      <c r="AA641" s="1698"/>
      <c r="AB641" s="1698"/>
      <c r="AC641" s="1698"/>
      <c r="AD641" s="1698"/>
      <c r="AE641" s="1698"/>
      <c r="AF641" s="1698"/>
      <c r="AG641" s="1698"/>
      <c r="AH641" s="1698"/>
      <c r="AI641" s="160"/>
      <c r="AJ641" s="4"/>
      <c r="AK641" s="4"/>
      <c r="AL641" s="4"/>
      <c r="AM641" s="4"/>
      <c r="AN641" s="79"/>
    </row>
    <row r="642" spans="1:60" s="641" customFormat="1" ht="12.4" customHeight="1">
      <c r="A642" s="4"/>
      <c r="B642" s="1698"/>
      <c r="C642" s="1698"/>
      <c r="D642" s="1698"/>
      <c r="E642" s="1698"/>
      <c r="F642" s="1698"/>
      <c r="G642" s="1698"/>
      <c r="H642" s="1698"/>
      <c r="I642" s="1698"/>
      <c r="J642" s="1698"/>
      <c r="K642" s="1698"/>
      <c r="L642" s="1698"/>
      <c r="M642" s="1698"/>
      <c r="N642" s="1698"/>
      <c r="O642" s="1698"/>
      <c r="P642" s="1698"/>
      <c r="Q642" s="1698"/>
      <c r="R642" s="1698"/>
      <c r="S642" s="1698"/>
      <c r="T642" s="1698"/>
      <c r="U642" s="1698"/>
      <c r="V642" s="1698"/>
      <c r="W642" s="1698"/>
      <c r="X642" s="1698"/>
      <c r="Y642" s="1698"/>
      <c r="Z642" s="1698"/>
      <c r="AA642" s="1698"/>
      <c r="AB642" s="1698"/>
      <c r="AC642" s="1698"/>
      <c r="AD642" s="1698"/>
      <c r="AE642" s="1698"/>
      <c r="AF642" s="1698"/>
      <c r="AG642" s="1698"/>
      <c r="AH642" s="1698"/>
      <c r="AI642" s="160"/>
      <c r="AJ642" s="4"/>
      <c r="AK642" s="4"/>
      <c r="AL642" s="4"/>
      <c r="AM642" s="4"/>
      <c r="AN642" s="675"/>
      <c r="BD642" s="643"/>
      <c r="BE642" s="643"/>
      <c r="BF642" s="643"/>
      <c r="BG642" s="643"/>
      <c r="BH642" s="643"/>
    </row>
    <row r="643" spans="1:60">
      <c r="A643" s="4"/>
      <c r="B643" s="1698"/>
      <c r="C643" s="1698"/>
      <c r="D643" s="1698"/>
      <c r="E643" s="1698"/>
      <c r="F643" s="1698"/>
      <c r="G643" s="1698"/>
      <c r="H643" s="1698"/>
      <c r="I643" s="1698"/>
      <c r="J643" s="1698"/>
      <c r="K643" s="1698"/>
      <c r="L643" s="1698"/>
      <c r="M643" s="1698"/>
      <c r="N643" s="1698"/>
      <c r="O643" s="1698"/>
      <c r="P643" s="1698"/>
      <c r="Q643" s="1698"/>
      <c r="R643" s="1698"/>
      <c r="S643" s="1698"/>
      <c r="T643" s="1698"/>
      <c r="U643" s="1698"/>
      <c r="V643" s="1698"/>
      <c r="W643" s="1698"/>
      <c r="X643" s="1698"/>
      <c r="Y643" s="1698"/>
      <c r="Z643" s="1698"/>
      <c r="AA643" s="1698"/>
      <c r="AB643" s="1698"/>
      <c r="AC643" s="1698"/>
      <c r="AD643" s="1698"/>
      <c r="AE643" s="1698"/>
      <c r="AF643" s="1698"/>
      <c r="AG643" s="1698"/>
      <c r="AH643" s="1698"/>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308">
        <f>IF($C$627="yes",10,0)</f>
        <v>10</v>
      </c>
      <c r="AL645" s="1309"/>
      <c r="AM645" s="1310"/>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49" t="s">
        <v>108</v>
      </c>
      <c r="D650" s="1149"/>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49" t="s">
        <v>124</v>
      </c>
      <c r="D655" s="1149"/>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49" t="s">
        <v>124</v>
      </c>
      <c r="D659" s="1149"/>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49" t="s">
        <v>124</v>
      </c>
      <c r="D663" s="1149"/>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49" t="s">
        <v>124</v>
      </c>
      <c r="D665" s="1149"/>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49" t="s">
        <v>124</v>
      </c>
      <c r="D670" s="1149"/>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49" t="s">
        <v>124</v>
      </c>
      <c r="D673" s="1149"/>
      <c r="E673" s="183" t="s">
        <v>281</v>
      </c>
      <c r="F673" s="1698" t="s">
        <v>2197</v>
      </c>
      <c r="G673" s="1698"/>
      <c r="H673" s="1698"/>
      <c r="I673" s="1698"/>
      <c r="J673" s="1698"/>
      <c r="K673" s="1698"/>
      <c r="L673" s="1698"/>
      <c r="M673" s="1698"/>
      <c r="N673" s="1698"/>
      <c r="O673" s="1698"/>
      <c r="P673" s="1698"/>
      <c r="Q673" s="1698"/>
      <c r="R673" s="1698"/>
      <c r="S673" s="1698"/>
      <c r="T673" s="1698"/>
      <c r="U673" s="1698"/>
      <c r="V673" s="1698"/>
      <c r="W673" s="1698"/>
      <c r="X673" s="1698"/>
      <c r="Y673" s="1698"/>
      <c r="Z673" s="1698"/>
      <c r="AA673" s="1698"/>
      <c r="AB673" s="1698"/>
      <c r="AC673" s="1698"/>
      <c r="AD673" s="1698"/>
      <c r="AE673" s="19"/>
      <c r="AF673" s="19"/>
      <c r="AG673" s="3" t="s">
        <v>103</v>
      </c>
      <c r="AH673" s="19"/>
      <c r="AI673" s="19"/>
      <c r="AJ673" s="4"/>
      <c r="AK673" s="4"/>
      <c r="AL673" s="4"/>
      <c r="AM673" s="4"/>
      <c r="AN673" s="79"/>
      <c r="AO673" s="21"/>
    </row>
    <row r="674" spans="1:60">
      <c r="A674" s="4"/>
      <c r="B674" s="19"/>
      <c r="C674" s="19"/>
      <c r="D674" s="19"/>
      <c r="E674" s="19"/>
      <c r="F674" s="1698"/>
      <c r="G674" s="1698"/>
      <c r="H674" s="1698"/>
      <c r="I674" s="1698"/>
      <c r="J674" s="1698"/>
      <c r="K674" s="1698"/>
      <c r="L674" s="1698"/>
      <c r="M674" s="1698"/>
      <c r="N674" s="1698"/>
      <c r="O674" s="1698"/>
      <c r="P674" s="1698"/>
      <c r="Q674" s="1698"/>
      <c r="R674" s="1698"/>
      <c r="S674" s="1698"/>
      <c r="T674" s="1698"/>
      <c r="U674" s="1698"/>
      <c r="V674" s="1698"/>
      <c r="W674" s="1698"/>
      <c r="X674" s="1698"/>
      <c r="Y674" s="1698"/>
      <c r="Z674" s="1698"/>
      <c r="AA674" s="1698"/>
      <c r="AB674" s="1698"/>
      <c r="AC674" s="1698"/>
      <c r="AD674" s="1698"/>
      <c r="AE674" s="19"/>
      <c r="AF674" s="19"/>
      <c r="AG674" s="19"/>
      <c r="AH674" s="19"/>
      <c r="AI674" s="19"/>
      <c r="AJ674" s="4"/>
      <c r="AK674" s="4"/>
      <c r="AL674" s="4"/>
      <c r="AM674" s="4"/>
      <c r="AN674" s="79"/>
      <c r="AO674" s="21"/>
    </row>
    <row r="675" spans="1:60" ht="0.75" customHeight="1">
      <c r="A675" s="4"/>
      <c r="B675" s="19"/>
      <c r="C675" s="19"/>
      <c r="D675" s="19"/>
      <c r="E675" s="19"/>
      <c r="F675" s="1698"/>
      <c r="G675" s="1698"/>
      <c r="H675" s="1698"/>
      <c r="I675" s="1698"/>
      <c r="J675" s="1698"/>
      <c r="K675" s="1698"/>
      <c r="L675" s="1698"/>
      <c r="M675" s="1698"/>
      <c r="N675" s="1698"/>
      <c r="O675" s="1698"/>
      <c r="P675" s="1698"/>
      <c r="Q675" s="1698"/>
      <c r="R675" s="1698"/>
      <c r="S675" s="1698"/>
      <c r="T675" s="1698"/>
      <c r="U675" s="1698"/>
      <c r="V675" s="1698"/>
      <c r="W675" s="1698"/>
      <c r="X675" s="1698"/>
      <c r="Y675" s="1698"/>
      <c r="Z675" s="1698"/>
      <c r="AA675" s="1698"/>
      <c r="AB675" s="1698"/>
      <c r="AC675" s="1698"/>
      <c r="AD675" s="169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308">
        <f>$AO$655</f>
        <v>2</v>
      </c>
      <c r="AL688" s="1309"/>
      <c r="AM688" s="131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914" t="s">
        <v>722</v>
      </c>
      <c r="B691" s="1914"/>
      <c r="C691" s="1914"/>
      <c r="D691" s="1914"/>
      <c r="E691" s="1914"/>
      <c r="F691" s="1914"/>
      <c r="G691" s="1914"/>
      <c r="H691" s="1914"/>
      <c r="I691" s="1914"/>
      <c r="J691" s="1914"/>
      <c r="K691" s="1914"/>
      <c r="L691" s="1914"/>
      <c r="M691" s="1914"/>
      <c r="N691" s="1914"/>
      <c r="O691" s="1914"/>
      <c r="P691" s="1914"/>
      <c r="Q691" s="1914"/>
      <c r="R691" s="1914"/>
      <c r="S691" s="1914"/>
      <c r="T691" s="1914"/>
      <c r="U691" s="1914"/>
      <c r="V691" s="1914"/>
      <c r="W691" s="1914"/>
      <c r="X691" s="1914"/>
      <c r="Y691" s="1914"/>
      <c r="Z691" s="1914"/>
      <c r="AA691" s="1914"/>
      <c r="AB691" s="1914"/>
      <c r="AC691" s="1914"/>
      <c r="AD691" s="1914"/>
      <c r="AE691" s="1914"/>
      <c r="AF691" s="1914"/>
      <c r="AG691" s="1914"/>
      <c r="AH691" s="1914"/>
      <c r="AI691" s="1914"/>
      <c r="AJ691" s="1914"/>
      <c r="AK691" s="1914"/>
      <c r="AL691" s="1914"/>
      <c r="AM691" s="1914"/>
      <c r="AO691" s="204"/>
      <c r="AP691" s="204"/>
      <c r="AQ691" s="204"/>
    </row>
    <row r="692" spans="1:43">
      <c r="A692" s="1915"/>
      <c r="B692" s="1915"/>
      <c r="C692" s="1915"/>
      <c r="D692" s="1915"/>
      <c r="E692" s="1915"/>
      <c r="F692" s="1915"/>
      <c r="G692" s="1915"/>
      <c r="H692" s="1915"/>
      <c r="I692" s="1915"/>
      <c r="J692" s="1915"/>
      <c r="K692" s="1915"/>
      <c r="L692" s="1915"/>
      <c r="M692" s="1915"/>
      <c r="N692" s="1915"/>
      <c r="O692" s="1915"/>
      <c r="P692" s="1915"/>
      <c r="Q692" s="1915"/>
      <c r="R692" s="1915"/>
      <c r="S692" s="1915"/>
      <c r="T692" s="1915"/>
      <c r="U692" s="1915"/>
      <c r="V692" s="1915"/>
      <c r="W692" s="1915"/>
      <c r="X692" s="1915"/>
      <c r="Y692" s="1915"/>
      <c r="Z692" s="1915"/>
      <c r="AA692" s="1915"/>
      <c r="AB692" s="1915"/>
      <c r="AC692" s="1915"/>
      <c r="AD692" s="1915"/>
      <c r="AE692" s="1915"/>
      <c r="AF692" s="1915"/>
      <c r="AG692" s="1915"/>
      <c r="AH692" s="1915"/>
      <c r="AI692" s="1915"/>
      <c r="AJ692" s="1915"/>
      <c r="AK692" s="1915"/>
      <c r="AL692" s="1915"/>
      <c r="AM692" s="1915"/>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206" t="s">
        <v>1930</v>
      </c>
      <c r="B694" s="1206"/>
      <c r="C694" s="1206"/>
      <c r="D694" s="1206"/>
      <c r="E694" s="1206"/>
      <c r="F694" s="1206"/>
      <c r="G694" s="1206"/>
      <c r="H694" s="1206"/>
      <c r="I694" s="1206"/>
      <c r="J694" s="1206"/>
      <c r="K694" s="1206"/>
      <c r="L694" s="1206"/>
      <c r="M694" s="1206"/>
      <c r="N694" s="1206"/>
      <c r="O694" s="1206"/>
      <c r="P694" s="1206"/>
      <c r="Q694" s="1206"/>
      <c r="R694" s="1206"/>
      <c r="S694" s="1206"/>
      <c r="T694" s="1206"/>
      <c r="U694" s="1206"/>
      <c r="V694" s="1206"/>
      <c r="W694" s="1206"/>
      <c r="X694" s="1206"/>
      <c r="Y694" s="1206"/>
      <c r="Z694" s="1206"/>
      <c r="AA694" s="1206"/>
      <c r="AB694" s="1206"/>
      <c r="AC694" s="1206"/>
      <c r="AD694" s="1206"/>
      <c r="AE694" s="1206"/>
      <c r="AF694" s="1206"/>
      <c r="AG694" s="1206"/>
      <c r="AH694" s="1206"/>
      <c r="AI694" s="1206"/>
      <c r="AJ694" s="1206"/>
      <c r="AK694" s="1206"/>
      <c r="AL694" s="1206"/>
      <c r="AM694" s="1206"/>
      <c r="AO694" s="204">
        <f>IF(T703&gt;15,15,T703)</f>
        <v>15</v>
      </c>
      <c r="AP694" s="204"/>
      <c r="AQ694" s="204"/>
    </row>
    <row r="695" spans="1:43">
      <c r="A695" s="1206" t="s">
        <v>1931</v>
      </c>
      <c r="B695" s="1206"/>
      <c r="C695" s="1206"/>
      <c r="D695" s="1206"/>
      <c r="E695" s="1206"/>
      <c r="F695" s="1206"/>
      <c r="G695" s="1206"/>
      <c r="H695" s="1206"/>
      <c r="I695" s="1206"/>
      <c r="J695" s="1206"/>
      <c r="K695" s="1206"/>
      <c r="L695" s="1206"/>
      <c r="M695" s="1206"/>
      <c r="N695" s="1206"/>
      <c r="O695" s="1206"/>
      <c r="P695" s="1206"/>
      <c r="Q695" s="1206"/>
      <c r="R695" s="1206"/>
      <c r="S695" s="1206"/>
      <c r="T695" s="1206"/>
      <c r="U695" s="1206"/>
      <c r="V695" s="1206"/>
      <c r="W695" s="1206"/>
      <c r="X695" s="1206"/>
      <c r="Y695" s="1206"/>
      <c r="Z695" s="1206"/>
      <c r="AA695" s="1206"/>
      <c r="AB695" s="1206"/>
      <c r="AC695" s="1206"/>
      <c r="AD695" s="1206"/>
      <c r="AE695" s="1206"/>
      <c r="AF695" s="1206"/>
      <c r="AG695" s="1206"/>
      <c r="AH695" s="1206"/>
      <c r="AI695" s="1206"/>
      <c r="AJ695" s="1206"/>
      <c r="AK695" s="1206"/>
      <c r="AL695" s="1206"/>
      <c r="AM695" s="1206"/>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98" t="s">
        <v>234</v>
      </c>
      <c r="U696" s="1588"/>
      <c r="V696" s="1588"/>
      <c r="W696" s="1588"/>
      <c r="X696" s="1588"/>
      <c r="Y696" s="1589"/>
      <c r="Z696" s="1598" t="s">
        <v>233</v>
      </c>
      <c r="AA696" s="1588"/>
      <c r="AB696" s="1588"/>
      <c r="AC696" s="1588"/>
      <c r="AD696" s="1588"/>
      <c r="AE696" s="1589"/>
      <c r="AF696" s="1598" t="s">
        <v>235</v>
      </c>
      <c r="AG696" s="1588"/>
      <c r="AH696" s="1588"/>
      <c r="AI696" s="1588"/>
      <c r="AJ696" s="1588"/>
      <c r="AK696" s="1589"/>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62"/>
      <c r="U697" s="1563"/>
      <c r="V697" s="1563"/>
      <c r="W697" s="1563"/>
      <c r="X697" s="1563"/>
      <c r="Y697" s="1564"/>
      <c r="Z697" s="1562"/>
      <c r="AA697" s="1563"/>
      <c r="AB697" s="1563"/>
      <c r="AC697" s="1563"/>
      <c r="AD697" s="1563"/>
      <c r="AE697" s="1564"/>
      <c r="AF697" s="1562"/>
      <c r="AG697" s="1563"/>
      <c r="AH697" s="1563"/>
      <c r="AI697" s="1563"/>
      <c r="AJ697" s="1563"/>
      <c r="AK697" s="1564"/>
      <c r="AL697" s="775"/>
      <c r="AM697" s="20"/>
    </row>
    <row r="698" spans="1:43">
      <c r="A698" s="591" t="s">
        <v>653</v>
      </c>
      <c r="B698" s="1692" t="s">
        <v>270</v>
      </c>
      <c r="C698" s="1692"/>
      <c r="D698" s="1692"/>
      <c r="E698" s="1692"/>
      <c r="F698" s="1692"/>
      <c r="G698" s="1692"/>
      <c r="H698" s="1692"/>
      <c r="I698" s="1692"/>
      <c r="J698" s="1692"/>
      <c r="K698" s="1692"/>
      <c r="L698" s="1692"/>
      <c r="M698" s="1692"/>
      <c r="N698" s="1692"/>
      <c r="O698" s="1692"/>
      <c r="P698" s="1692"/>
      <c r="Q698" s="1692"/>
      <c r="R698" s="1692"/>
      <c r="S698" s="1693"/>
      <c r="T698" s="1691">
        <f>SUM(T699:Y700)</f>
        <v>10</v>
      </c>
      <c r="U698" s="1691"/>
      <c r="V698" s="1691"/>
      <c r="W698" s="1691"/>
      <c r="X698" s="1691"/>
      <c r="Y698" s="1691"/>
      <c r="Z698" s="1532">
        <v>10</v>
      </c>
      <c r="AA698" s="1532"/>
      <c r="AB698" s="1532"/>
      <c r="AC698" s="1532"/>
      <c r="AD698" s="1532"/>
      <c r="AE698" s="1532"/>
      <c r="AF698" s="1532">
        <f>IF(T698&gt;Z698,Z698,T698)</f>
        <v>10</v>
      </c>
      <c r="AG698" s="1532"/>
      <c r="AH698" s="1532"/>
      <c r="AI698" s="1532"/>
      <c r="AJ698" s="1532"/>
      <c r="AK698" s="1532"/>
      <c r="AL698" s="775"/>
      <c r="AM698" s="20"/>
      <c r="AO698" s="4">
        <f>IF(T707&gt;50,50,T707)</f>
        <v>50</v>
      </c>
    </row>
    <row r="699" spans="1:43">
      <c r="A699" s="611"/>
      <c r="B699" s="612"/>
      <c r="C699" s="617"/>
      <c r="D699" s="304" t="s">
        <v>210</v>
      </c>
      <c r="E699" s="1695" t="s">
        <v>236</v>
      </c>
      <c r="F699" s="1695"/>
      <c r="G699" s="1695"/>
      <c r="H699" s="1695"/>
      <c r="I699" s="1695"/>
      <c r="J699" s="1695"/>
      <c r="K699" s="1695"/>
      <c r="L699" s="1695"/>
      <c r="M699" s="1695"/>
      <c r="N699" s="1695"/>
      <c r="O699" s="1695"/>
      <c r="P699" s="1695"/>
      <c r="Q699" s="1695"/>
      <c r="R699" s="1695"/>
      <c r="S699" s="1696"/>
      <c r="T699" s="1694">
        <f>AJ31</f>
        <v>7</v>
      </c>
      <c r="U699" s="1694"/>
      <c r="V699" s="1694"/>
      <c r="W699" s="1694"/>
      <c r="X699" s="1694"/>
      <c r="Y699" s="1694"/>
      <c r="Z699" s="1697">
        <v>7</v>
      </c>
      <c r="AA699" s="1697"/>
      <c r="AB699" s="1697"/>
      <c r="AC699" s="1697"/>
      <c r="AD699" s="1697"/>
      <c r="AE699" s="1697"/>
      <c r="AF699" s="1847"/>
      <c r="AG699" s="1847"/>
      <c r="AH699" s="1847"/>
      <c r="AI699" s="1847"/>
      <c r="AJ699" s="1847"/>
      <c r="AK699" s="1847"/>
      <c r="AL699" s="775"/>
      <c r="AM699" s="20"/>
    </row>
    <row r="700" spans="1:43">
      <c r="A700" s="613"/>
      <c r="B700" s="612"/>
      <c r="C700" s="612"/>
      <c r="D700" s="304" t="s">
        <v>428</v>
      </c>
      <c r="E700" s="1695" t="s">
        <v>237</v>
      </c>
      <c r="F700" s="1695"/>
      <c r="G700" s="1695"/>
      <c r="H700" s="1695"/>
      <c r="I700" s="1695"/>
      <c r="J700" s="1695"/>
      <c r="K700" s="1695"/>
      <c r="L700" s="1695"/>
      <c r="M700" s="1695"/>
      <c r="N700" s="1695"/>
      <c r="O700" s="1695"/>
      <c r="P700" s="1695"/>
      <c r="Q700" s="1695"/>
      <c r="R700" s="1695"/>
      <c r="S700" s="1696"/>
      <c r="T700" s="1694">
        <f>AJ47</f>
        <v>3</v>
      </c>
      <c r="U700" s="1694"/>
      <c r="V700" s="1694"/>
      <c r="W700" s="1694"/>
      <c r="X700" s="1694"/>
      <c r="Y700" s="1694"/>
      <c r="Z700" s="1697">
        <v>3</v>
      </c>
      <c r="AA700" s="1697"/>
      <c r="AB700" s="1697"/>
      <c r="AC700" s="1697"/>
      <c r="AD700" s="1697"/>
      <c r="AE700" s="1697"/>
      <c r="AF700" s="1847"/>
      <c r="AG700" s="1847"/>
      <c r="AH700" s="1847"/>
      <c r="AI700" s="1847"/>
      <c r="AJ700" s="1847"/>
      <c r="AK700" s="1847"/>
      <c r="AL700" s="775"/>
      <c r="AM700" s="20"/>
    </row>
    <row r="701" spans="1:43">
      <c r="A701" s="591" t="s">
        <v>8</v>
      </c>
      <c r="B701" s="1692" t="s">
        <v>271</v>
      </c>
      <c r="C701" s="1692"/>
      <c r="D701" s="1692"/>
      <c r="E701" s="1692"/>
      <c r="F701" s="1692"/>
      <c r="G701" s="1692"/>
      <c r="H701" s="1692"/>
      <c r="I701" s="1692"/>
      <c r="J701" s="1692"/>
      <c r="K701" s="1692"/>
      <c r="L701" s="1692"/>
      <c r="M701" s="1692"/>
      <c r="N701" s="1692"/>
      <c r="O701" s="1692"/>
      <c r="P701" s="1692"/>
      <c r="Q701" s="1692"/>
      <c r="R701" s="1692"/>
      <c r="S701" s="1693"/>
      <c r="T701" s="1691">
        <f>AK68</f>
        <v>10</v>
      </c>
      <c r="U701" s="1691"/>
      <c r="V701" s="1691"/>
      <c r="W701" s="1691"/>
      <c r="X701" s="1691"/>
      <c r="Y701" s="1691"/>
      <c r="Z701" s="1532">
        <v>10</v>
      </c>
      <c r="AA701" s="1532"/>
      <c r="AB701" s="1532"/>
      <c r="AC701" s="1532"/>
      <c r="AD701" s="1532"/>
      <c r="AE701" s="1532"/>
      <c r="AF701" s="1532">
        <f>IF(T701&gt;Z701,Z701,T701)</f>
        <v>10</v>
      </c>
      <c r="AG701" s="1532"/>
      <c r="AH701" s="1532"/>
      <c r="AI701" s="1532"/>
      <c r="AJ701" s="1532"/>
      <c r="AK701" s="1532"/>
      <c r="AL701" s="775"/>
      <c r="AM701" s="20"/>
    </row>
    <row r="702" spans="1:43">
      <c r="A702" s="591" t="s">
        <v>119</v>
      </c>
      <c r="B702" s="1692" t="s">
        <v>272</v>
      </c>
      <c r="C702" s="1692"/>
      <c r="D702" s="1692"/>
      <c r="E702" s="1692"/>
      <c r="F702" s="1692"/>
      <c r="G702" s="1692"/>
      <c r="H702" s="1692"/>
      <c r="I702" s="1692"/>
      <c r="J702" s="1692"/>
      <c r="K702" s="1692"/>
      <c r="L702" s="1692"/>
      <c r="M702" s="1692"/>
      <c r="N702" s="1692"/>
      <c r="O702" s="1692"/>
      <c r="P702" s="1692"/>
      <c r="Q702" s="1692"/>
      <c r="R702" s="1692"/>
      <c r="S702" s="1693"/>
      <c r="T702" s="1691">
        <f>AO693</f>
        <v>25</v>
      </c>
      <c r="U702" s="1691">
        <f>IF(AND(AND(A703&gt;15,15+A704),A704&gt;10,A703+10),A702,0)</f>
        <v>0</v>
      </c>
      <c r="V702" s="1691">
        <f>IF(AND(AND(B703&gt;15,15+B704),B704&gt;10,B703+10),#REF!,0)</f>
        <v>0</v>
      </c>
      <c r="W702" s="1691">
        <f>IF(AND(AND(C703&gt;15,15+C704),C704&gt;10,C703+10),B702,0)</f>
        <v>0</v>
      </c>
      <c r="X702" s="1691" t="e">
        <f>IF(AND(AND(D703&gt;15,15+D704),D704&gt;10,D703+10),D702,0)</f>
        <v>#VALUE!</v>
      </c>
      <c r="Y702" s="1691" t="e">
        <f>IF(AND(AND(E703&gt;15,15+E704),E704&gt;10,E703+10),E702,0)</f>
        <v>#VALUE!</v>
      </c>
      <c r="Z702" s="1532">
        <v>25</v>
      </c>
      <c r="AA702" s="1532"/>
      <c r="AB702" s="1532"/>
      <c r="AC702" s="1532"/>
      <c r="AD702" s="1532"/>
      <c r="AE702" s="1532"/>
      <c r="AF702" s="1532">
        <f>IF(T702&gt;Z702,Z702,T702)</f>
        <v>25</v>
      </c>
      <c r="AG702" s="1532"/>
      <c r="AH702" s="1532"/>
      <c r="AI702" s="1532"/>
      <c r="AJ702" s="1532"/>
      <c r="AK702" s="1532"/>
      <c r="AL702" s="775"/>
      <c r="AM702" s="20"/>
    </row>
    <row r="703" spans="1:43">
      <c r="A703" s="591"/>
      <c r="B703" s="612"/>
      <c r="C703" s="612"/>
      <c r="D703" s="304" t="s">
        <v>1466</v>
      </c>
      <c r="E703" s="1695" t="s">
        <v>294</v>
      </c>
      <c r="F703" s="1695"/>
      <c r="G703" s="1695"/>
      <c r="H703" s="1695"/>
      <c r="I703" s="1695"/>
      <c r="J703" s="1695"/>
      <c r="K703" s="1695"/>
      <c r="L703" s="1695"/>
      <c r="M703" s="1695"/>
      <c r="N703" s="1695"/>
      <c r="O703" s="1695"/>
      <c r="P703" s="1695"/>
      <c r="Q703" s="1695"/>
      <c r="R703" s="1695"/>
      <c r="S703" s="1696"/>
      <c r="T703" s="1694">
        <f>AK283</f>
        <v>25</v>
      </c>
      <c r="U703" s="1694"/>
      <c r="V703" s="1694"/>
      <c r="W703" s="1694"/>
      <c r="X703" s="1694"/>
      <c r="Y703" s="1694"/>
      <c r="Z703" s="1697">
        <v>15</v>
      </c>
      <c r="AA703" s="1697"/>
      <c r="AB703" s="1697"/>
      <c r="AC703" s="1697"/>
      <c r="AD703" s="1697"/>
      <c r="AE703" s="1697"/>
      <c r="AF703" s="1847"/>
      <c r="AG703" s="1847"/>
      <c r="AH703" s="1847"/>
      <c r="AI703" s="1847"/>
      <c r="AJ703" s="1847"/>
      <c r="AK703" s="1847"/>
      <c r="AL703" s="775"/>
      <c r="AM703" s="20"/>
    </row>
    <row r="704" spans="1:43">
      <c r="A704" s="614"/>
      <c r="B704" s="90"/>
      <c r="C704" s="90"/>
      <c r="D704" s="615" t="s">
        <v>1467</v>
      </c>
      <c r="E704" s="1695" t="s">
        <v>295</v>
      </c>
      <c r="F704" s="1695"/>
      <c r="G704" s="1695"/>
      <c r="H704" s="1695"/>
      <c r="I704" s="1695"/>
      <c r="J704" s="1695"/>
      <c r="K704" s="1695"/>
      <c r="L704" s="1695"/>
      <c r="M704" s="1695"/>
      <c r="N704" s="1695"/>
      <c r="O704" s="1695"/>
      <c r="P704" s="1695"/>
      <c r="Q704" s="1695"/>
      <c r="R704" s="1695"/>
      <c r="S704" s="1696"/>
      <c r="T704" s="1694">
        <f>AK474</f>
        <v>10</v>
      </c>
      <c r="U704" s="1694"/>
      <c r="V704" s="1694"/>
      <c r="W704" s="1694"/>
      <c r="X704" s="1694"/>
      <c r="Y704" s="1694"/>
      <c r="Z704" s="1697">
        <v>10</v>
      </c>
      <c r="AA704" s="1697"/>
      <c r="AB704" s="1697"/>
      <c r="AC704" s="1697"/>
      <c r="AD704" s="1697"/>
      <c r="AE704" s="1697"/>
      <c r="AF704" s="1847"/>
      <c r="AG704" s="1847"/>
      <c r="AH704" s="1847"/>
      <c r="AI704" s="1847"/>
      <c r="AJ704" s="1847"/>
      <c r="AK704" s="1847"/>
      <c r="AL704" s="775"/>
      <c r="AM704" s="20"/>
    </row>
    <row r="705" spans="1:39" hidden="1">
      <c r="A705" s="591" t="s">
        <v>122</v>
      </c>
      <c r="B705" s="1692" t="s">
        <v>540</v>
      </c>
      <c r="C705" s="1692"/>
      <c r="D705" s="1692"/>
      <c r="E705" s="1692"/>
      <c r="F705" s="1692"/>
      <c r="G705" s="1692"/>
      <c r="H705" s="1692"/>
      <c r="I705" s="1692"/>
      <c r="J705" s="1692"/>
      <c r="K705" s="1692"/>
      <c r="L705" s="1692"/>
      <c r="M705" s="1692"/>
      <c r="N705" s="1692"/>
      <c r="O705" s="1692"/>
      <c r="P705" s="1692"/>
      <c r="Q705" s="1692"/>
      <c r="R705" s="1692"/>
      <c r="S705" s="1693"/>
      <c r="T705" s="1691"/>
      <c r="U705" s="1691"/>
      <c r="V705" s="1691"/>
      <c r="W705" s="1691"/>
      <c r="X705" s="1691"/>
      <c r="Y705" s="1691"/>
      <c r="Z705" s="1532"/>
      <c r="AA705" s="1532"/>
      <c r="AB705" s="1532"/>
      <c r="AC705" s="1532"/>
      <c r="AD705" s="1532"/>
      <c r="AE705" s="1532"/>
      <c r="AF705" s="1532"/>
      <c r="AG705" s="1532"/>
      <c r="AH705" s="1532"/>
      <c r="AI705" s="1532"/>
      <c r="AJ705" s="1532"/>
      <c r="AK705" s="1532"/>
      <c r="AL705" s="775"/>
      <c r="AM705" s="20"/>
    </row>
    <row r="706" spans="1:39">
      <c r="A706" s="591" t="s">
        <v>122</v>
      </c>
      <c r="B706" s="1692" t="s">
        <v>541</v>
      </c>
      <c r="C706" s="1692"/>
      <c r="D706" s="1692"/>
      <c r="E706" s="1692"/>
      <c r="F706" s="1692"/>
      <c r="G706" s="1692"/>
      <c r="H706" s="1692"/>
      <c r="I706" s="1692"/>
      <c r="J706" s="1692"/>
      <c r="K706" s="1692"/>
      <c r="L706" s="1692"/>
      <c r="M706" s="1692"/>
      <c r="N706" s="1692"/>
      <c r="O706" s="1692"/>
      <c r="P706" s="1692"/>
      <c r="Q706" s="1692"/>
      <c r="R706" s="1692"/>
      <c r="S706" s="1693"/>
      <c r="T706" s="1916">
        <f>IF(SUM(T707:Y708)&gt;52,52,SUM(T707:Y708))</f>
        <v>52</v>
      </c>
      <c r="U706" s="1690"/>
      <c r="V706" s="1690"/>
      <c r="W706" s="1690"/>
      <c r="X706" s="1690"/>
      <c r="Y706" s="1690"/>
      <c r="Z706" s="1690">
        <v>52</v>
      </c>
      <c r="AA706" s="1690"/>
      <c r="AB706" s="1690"/>
      <c r="AC706" s="1690"/>
      <c r="AD706" s="1690"/>
      <c r="AE706" s="1690"/>
      <c r="AF706" s="1690">
        <f>$AO$698+$T$708</f>
        <v>52</v>
      </c>
      <c r="AG706" s="1690"/>
      <c r="AH706" s="1690"/>
      <c r="AI706" s="1690"/>
      <c r="AJ706" s="1690"/>
      <c r="AK706" s="1690"/>
      <c r="AL706" s="775"/>
      <c r="AM706" s="20"/>
    </row>
    <row r="707" spans="1:39">
      <c r="A707" s="616"/>
      <c r="B707" s="618"/>
      <c r="C707" s="618"/>
      <c r="D707" s="619" t="s">
        <v>2201</v>
      </c>
      <c r="E707" s="1695" t="s">
        <v>183</v>
      </c>
      <c r="F707" s="1695"/>
      <c r="G707" s="1695"/>
      <c r="H707" s="1695"/>
      <c r="I707" s="1695"/>
      <c r="J707" s="1695"/>
      <c r="K707" s="1695"/>
      <c r="L707" s="1695"/>
      <c r="M707" s="1695"/>
      <c r="N707" s="1695"/>
      <c r="O707" s="1695"/>
      <c r="P707" s="1695"/>
      <c r="Q707" s="1695"/>
      <c r="R707" s="1695"/>
      <c r="S707" s="1696"/>
      <c r="T707" s="1911">
        <f>AC592</f>
        <v>77.5</v>
      </c>
      <c r="U707" s="1912"/>
      <c r="V707" s="1912"/>
      <c r="W707" s="1912"/>
      <c r="X707" s="1912"/>
      <c r="Y707" s="1913"/>
      <c r="Z707" s="1911">
        <v>50</v>
      </c>
      <c r="AA707" s="1912"/>
      <c r="AB707" s="1912"/>
      <c r="AC707" s="1912"/>
      <c r="AD707" s="1912"/>
      <c r="AE707" s="1913"/>
      <c r="AF707" s="1920"/>
      <c r="AG707" s="1921"/>
      <c r="AH707" s="1921"/>
      <c r="AI707" s="1921"/>
      <c r="AJ707" s="1921"/>
      <c r="AK707" s="1922"/>
      <c r="AL707" s="775"/>
      <c r="AM707" s="4"/>
    </row>
    <row r="708" spans="1:39">
      <c r="A708" s="620"/>
      <c r="B708" s="612"/>
      <c r="C708" s="612"/>
      <c r="D708" s="304" t="s">
        <v>2202</v>
      </c>
      <c r="E708" s="1695" t="s">
        <v>269</v>
      </c>
      <c r="F708" s="1695"/>
      <c r="G708" s="1695"/>
      <c r="H708" s="1695"/>
      <c r="I708" s="1695"/>
      <c r="J708" s="1695"/>
      <c r="K708" s="1695"/>
      <c r="L708" s="1695"/>
      <c r="M708" s="1695"/>
      <c r="N708" s="1695"/>
      <c r="O708" s="1695"/>
      <c r="P708" s="1695"/>
      <c r="Q708" s="1695"/>
      <c r="R708" s="1695"/>
      <c r="S708" s="1696"/>
      <c r="T708" s="1813">
        <f>IF(AJ617&gt;0,2,0)</f>
        <v>2</v>
      </c>
      <c r="U708" s="1814"/>
      <c r="V708" s="1814"/>
      <c r="W708" s="1814"/>
      <c r="X708" s="1814"/>
      <c r="Y708" s="1815"/>
      <c r="Z708" s="1308">
        <v>2</v>
      </c>
      <c r="AA708" s="1309"/>
      <c r="AB708" s="1309"/>
      <c r="AC708" s="1309"/>
      <c r="AD708" s="1309"/>
      <c r="AE708" s="1310"/>
      <c r="AF708" s="1850"/>
      <c r="AG708" s="1851"/>
      <c r="AH708" s="1851"/>
      <c r="AI708" s="1851"/>
      <c r="AJ708" s="1851"/>
      <c r="AK708" s="1852"/>
      <c r="AL708" s="775"/>
      <c r="AM708" s="4"/>
    </row>
    <row r="709" spans="1:39">
      <c r="A709" s="616" t="s">
        <v>123</v>
      </c>
      <c r="B709" s="1692" t="s">
        <v>542</v>
      </c>
      <c r="C709" s="1692"/>
      <c r="D709" s="1692"/>
      <c r="E709" s="1692"/>
      <c r="F709" s="1692"/>
      <c r="G709" s="1692"/>
      <c r="H709" s="1692"/>
      <c r="I709" s="1692"/>
      <c r="J709" s="1692"/>
      <c r="K709" s="1692"/>
      <c r="L709" s="1692"/>
      <c r="M709" s="1692"/>
      <c r="N709" s="1692"/>
      <c r="O709" s="1692"/>
      <c r="P709" s="1692"/>
      <c r="Q709" s="1692"/>
      <c r="R709" s="1692"/>
      <c r="S709" s="1693"/>
      <c r="T709" s="1691">
        <f>AK645</f>
        <v>10</v>
      </c>
      <c r="U709" s="1691"/>
      <c r="V709" s="1691"/>
      <c r="W709" s="1691"/>
      <c r="X709" s="1691"/>
      <c r="Y709" s="1691"/>
      <c r="Z709" s="1532">
        <v>10</v>
      </c>
      <c r="AA709" s="1532"/>
      <c r="AB709" s="1532"/>
      <c r="AC709" s="1532"/>
      <c r="AD709" s="1532"/>
      <c r="AE709" s="1532"/>
      <c r="AF709" s="1398">
        <f>IF(T709&gt;Z709,Z709,T709)</f>
        <v>10</v>
      </c>
      <c r="AG709" s="1399"/>
      <c r="AH709" s="1399"/>
      <c r="AI709" s="1399"/>
      <c r="AJ709" s="1399"/>
      <c r="AK709" s="1400"/>
      <c r="AL709" s="775"/>
      <c r="AM709" s="20"/>
    </row>
    <row r="710" spans="1:39">
      <c r="A710" s="616" t="s">
        <v>125</v>
      </c>
      <c r="B710" s="1692" t="s">
        <v>985</v>
      </c>
      <c r="C710" s="1692"/>
      <c r="D710" s="1692"/>
      <c r="E710" s="1692"/>
      <c r="F710" s="1692"/>
      <c r="G710" s="1692"/>
      <c r="H710" s="1692"/>
      <c r="I710" s="1692"/>
      <c r="J710" s="1692"/>
      <c r="K710" s="1692"/>
      <c r="L710" s="1692"/>
      <c r="M710" s="1692"/>
      <c r="N710" s="1692"/>
      <c r="O710" s="1692"/>
      <c r="P710" s="1692"/>
      <c r="Q710" s="1692"/>
      <c r="R710" s="1692"/>
      <c r="S710" s="1693"/>
      <c r="T710" s="1917">
        <f>IF(AK688&gt;2,2,AK688)</f>
        <v>2</v>
      </c>
      <c r="U710" s="1918"/>
      <c r="V710" s="1918"/>
      <c r="W710" s="1918"/>
      <c r="X710" s="1918"/>
      <c r="Y710" s="1919"/>
      <c r="Z710" s="1398">
        <v>2</v>
      </c>
      <c r="AA710" s="1399"/>
      <c r="AB710" s="1399"/>
      <c r="AC710" s="1399"/>
      <c r="AD710" s="1399"/>
      <c r="AE710" s="1400"/>
      <c r="AF710" s="1398">
        <f>IF(T710&gt;Z710,Z710,T710)</f>
        <v>2</v>
      </c>
      <c r="AG710" s="1848"/>
      <c r="AH710" s="1848"/>
      <c r="AI710" s="1848"/>
      <c r="AJ710" s="1848"/>
      <c r="AK710" s="1849"/>
      <c r="AL710" s="3"/>
      <c r="AM710" s="20"/>
    </row>
    <row r="711" spans="1:39">
      <c r="A711" s="1938" t="s">
        <v>297</v>
      </c>
      <c r="B711" s="1692"/>
      <c r="C711" s="1692"/>
      <c r="D711" s="1692"/>
      <c r="E711" s="1692"/>
      <c r="F711" s="1692"/>
      <c r="G711" s="1692"/>
      <c r="H711" s="1692"/>
      <c r="I711" s="1692"/>
      <c r="J711" s="1692"/>
      <c r="K711" s="1692"/>
      <c r="L711" s="1692"/>
      <c r="M711" s="1692"/>
      <c r="N711" s="1692"/>
      <c r="O711" s="1692"/>
      <c r="P711" s="1692"/>
      <c r="Q711" s="1692"/>
      <c r="R711" s="1692"/>
      <c r="S711" s="1693"/>
      <c r="T711" s="1142"/>
      <c r="U711" s="1142"/>
      <c r="V711" s="1142"/>
      <c r="W711" s="1142"/>
      <c r="X711" s="1142"/>
      <c r="Y711" s="1142"/>
      <c r="Z711" s="1697" t="s">
        <v>296</v>
      </c>
      <c r="AA711" s="1697"/>
      <c r="AB711" s="1697"/>
      <c r="AC711" s="1697"/>
      <c r="AD711" s="1697"/>
      <c r="AE711" s="1697"/>
      <c r="AF711" s="1398">
        <f>IF(T711&gt;0,T711,0)</f>
        <v>0</v>
      </c>
      <c r="AG711" s="1399"/>
      <c r="AH711" s="1399"/>
      <c r="AI711" s="1399"/>
      <c r="AJ711" s="1399"/>
      <c r="AK711" s="1400"/>
      <c r="AL711" s="18"/>
      <c r="AM711" s="20"/>
    </row>
    <row r="712" spans="1:39" ht="15.75">
      <c r="A712" s="1901" t="s">
        <v>721</v>
      </c>
      <c r="B712" s="1902"/>
      <c r="C712" s="1902"/>
      <c r="D712" s="1902"/>
      <c r="E712" s="1902"/>
      <c r="F712" s="1902"/>
      <c r="G712" s="1902"/>
      <c r="H712" s="1902"/>
      <c r="I712" s="1902"/>
      <c r="J712" s="1902"/>
      <c r="K712" s="1902"/>
      <c r="L712" s="1902"/>
      <c r="M712" s="1902"/>
      <c r="N712" s="1902"/>
      <c r="O712" s="1902"/>
      <c r="P712" s="1902"/>
      <c r="Q712" s="1902"/>
      <c r="R712" s="1902"/>
      <c r="S712" s="1902"/>
      <c r="T712" s="1902"/>
      <c r="U712" s="1902"/>
      <c r="V712" s="1902"/>
      <c r="W712" s="1902"/>
      <c r="X712" s="1902"/>
      <c r="Y712" s="1902"/>
      <c r="Z712" s="1902"/>
      <c r="AA712" s="1902"/>
      <c r="AB712" s="1902"/>
      <c r="AC712" s="1902"/>
      <c r="AD712" s="1902"/>
      <c r="AE712" s="1903"/>
      <c r="AF712" s="1839">
        <f>SUM(AF698:AK710)-AF711</f>
        <v>109</v>
      </c>
      <c r="AG712" s="1840"/>
      <c r="AH712" s="1840"/>
      <c r="AI712" s="1840"/>
      <c r="AJ712" s="1840"/>
      <c r="AK712" s="1841"/>
      <c r="AL712" s="776"/>
      <c r="AM712" s="4"/>
    </row>
    <row r="713" spans="1:39" ht="12.4" customHeight="1">
      <c r="A713" s="1904"/>
      <c r="B713" s="1905"/>
      <c r="C713" s="1905"/>
      <c r="D713" s="1905"/>
      <c r="E713" s="1905"/>
      <c r="F713" s="1905"/>
      <c r="G713" s="1905"/>
      <c r="H713" s="1905"/>
      <c r="I713" s="1905"/>
      <c r="J713" s="1905"/>
      <c r="K713" s="1905"/>
      <c r="L713" s="1905"/>
      <c r="M713" s="1905"/>
      <c r="N713" s="1905"/>
      <c r="O713" s="1905"/>
      <c r="P713" s="1905"/>
      <c r="Q713" s="1905"/>
      <c r="R713" s="1905"/>
      <c r="S713" s="1905"/>
      <c r="T713" s="1905"/>
      <c r="U713" s="1905"/>
      <c r="V713" s="1905"/>
      <c r="W713" s="1905"/>
      <c r="X713" s="1905"/>
      <c r="Y713" s="1905"/>
      <c r="Z713" s="1905"/>
      <c r="AA713" s="1905"/>
      <c r="AB713" s="1905"/>
      <c r="AC713" s="1905"/>
      <c r="AD713" s="1905"/>
      <c r="AE713" s="1906"/>
      <c r="AF713" s="1842"/>
      <c r="AG713" s="1843"/>
      <c r="AH713" s="1843"/>
      <c r="AI713" s="1843"/>
      <c r="AJ713" s="1843"/>
      <c r="AK713" s="1844"/>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927"/>
    </row>
    <row r="715" spans="1:39" ht="12.4"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927"/>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H296:R296"/>
    <mergeCell ref="AA301:AK301"/>
    <mergeCell ref="AA302:AK302"/>
    <mergeCell ref="AA298:AK298"/>
    <mergeCell ref="H302:R302"/>
    <mergeCell ref="P318:R318"/>
    <mergeCell ref="AA317:AK317"/>
    <mergeCell ref="AA300:AF300"/>
    <mergeCell ref="AI300:AK300"/>
    <mergeCell ref="H301:R301"/>
    <mergeCell ref="AA288:AK288"/>
    <mergeCell ref="E251:AB252"/>
    <mergeCell ref="E248:AB249"/>
    <mergeCell ref="AA287:AK287"/>
    <mergeCell ref="AF238:AL238"/>
    <mergeCell ref="AA309:AF309"/>
    <mergeCell ref="H294:R294"/>
    <mergeCell ref="AA293:AK293"/>
    <mergeCell ref="H316:R316"/>
    <mergeCell ref="H312:R312"/>
    <mergeCell ref="H309:M309"/>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K688:AM688"/>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K583:P583"/>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AP568:BJ569"/>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BK568:BO569"/>
    <mergeCell ref="BM550:BP550"/>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AA320:AK320"/>
    <mergeCell ref="AA315:AK315"/>
    <mergeCell ref="AA318:AF318"/>
    <mergeCell ref="AA308:AK308"/>
    <mergeCell ref="AA299:AK299"/>
    <mergeCell ref="AI309:AK309"/>
    <mergeCell ref="C359:AJ365"/>
    <mergeCell ref="F414:AE417"/>
    <mergeCell ref="AZ572:BD572"/>
    <mergeCell ref="Y567:Z567"/>
    <mergeCell ref="W572:X57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F464:AF467"/>
    <mergeCell ref="F459:AE462"/>
    <mergeCell ref="C506:D506"/>
    <mergeCell ref="C468:D468"/>
    <mergeCell ref="AU532:AY532"/>
    <mergeCell ref="C455:D455"/>
    <mergeCell ref="C487:D487"/>
    <mergeCell ref="C510:D510"/>
    <mergeCell ref="C517:D517"/>
    <mergeCell ref="AF455:AL455"/>
    <mergeCell ref="AF459:AL459"/>
    <mergeCell ref="U568:V568"/>
    <mergeCell ref="O560:P560"/>
    <mergeCell ref="AU534:AY534"/>
    <mergeCell ref="AP533:AT533"/>
    <mergeCell ref="AU533:AY533"/>
    <mergeCell ref="AP532:AT532"/>
    <mergeCell ref="C520:D520"/>
    <mergeCell ref="C524:D524"/>
    <mergeCell ref="C528:D528"/>
    <mergeCell ref="AU546:AV546"/>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AK474:AM474"/>
    <mergeCell ref="AK540:AM540"/>
    <mergeCell ref="F529:AF530"/>
    <mergeCell ref="AE477:AK477"/>
    <mergeCell ref="V497:X497"/>
    <mergeCell ref="AG544:AJ544"/>
    <mergeCell ref="F506:AE507"/>
    <mergeCell ref="V503:X503"/>
    <mergeCell ref="W561:X561"/>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Y566:Z566"/>
    <mergeCell ref="Y572:Z572"/>
    <mergeCell ref="AA572:AB572"/>
    <mergeCell ref="W563:X563"/>
    <mergeCell ref="H292:R292"/>
    <mergeCell ref="H288:R288"/>
    <mergeCell ref="H293:R293"/>
    <mergeCell ref="AA312:AK312"/>
    <mergeCell ref="AA311:AK311"/>
    <mergeCell ref="H311:R311"/>
    <mergeCell ref="H306:R306"/>
    <mergeCell ref="H307:R307"/>
    <mergeCell ref="H319:R319"/>
    <mergeCell ref="H314:R314"/>
    <mergeCell ref="H318:M318"/>
    <mergeCell ref="H300:M300"/>
    <mergeCell ref="H297:R297"/>
    <mergeCell ref="H299:R299"/>
    <mergeCell ref="H298:R298"/>
    <mergeCell ref="P300:R300"/>
    <mergeCell ref="H303:R303"/>
    <mergeCell ref="AA319:AK319"/>
    <mergeCell ref="AA297:AK297"/>
    <mergeCell ref="AA296:AK296"/>
    <mergeCell ref="AA316:AK316"/>
    <mergeCell ref="H315:R315"/>
    <mergeCell ref="H317:R317"/>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695:AM695"/>
    <mergeCell ref="C663:D663"/>
    <mergeCell ref="C673:D673"/>
    <mergeCell ref="F673:AD675"/>
    <mergeCell ref="J614:N614"/>
    <mergeCell ref="O614:S614"/>
    <mergeCell ref="O561:P561"/>
    <mergeCell ref="E581:J581"/>
    <mergeCell ref="K581:P581"/>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56" t="s">
        <v>2022</v>
      </c>
      <c r="B1" s="1956"/>
      <c r="C1" s="1956"/>
      <c r="D1" s="1956"/>
      <c r="E1" s="1956"/>
      <c r="F1" s="1956"/>
      <c r="G1" s="1956"/>
      <c r="H1" s="1956"/>
      <c r="I1" s="1956"/>
      <c r="J1" s="1956"/>
      <c r="K1" s="1956"/>
      <c r="L1" s="1956"/>
      <c r="M1" s="1956"/>
      <c r="N1" s="1956"/>
      <c r="O1" s="1956"/>
      <c r="P1" s="1956"/>
      <c r="Q1" s="1956"/>
      <c r="R1" s="1956"/>
      <c r="S1" s="1956"/>
      <c r="T1" s="1956"/>
      <c r="U1" s="1956"/>
      <c r="V1" s="1956"/>
      <c r="W1" s="1956"/>
      <c r="X1" s="1956"/>
      <c r="Y1" s="1956"/>
      <c r="Z1" s="1956"/>
      <c r="AA1" s="1956"/>
      <c r="AB1" s="1956"/>
      <c r="AC1" s="1956"/>
      <c r="AD1" s="1956"/>
      <c r="AE1" s="1956"/>
      <c r="AF1" s="1956"/>
      <c r="AG1" s="1956"/>
      <c r="AH1" s="1956"/>
      <c r="AI1" s="1956"/>
      <c r="AJ1" s="1956"/>
      <c r="AK1" s="1956"/>
      <c r="AL1" s="1956"/>
      <c r="AM1" s="1956"/>
      <c r="AN1" s="1956"/>
      <c r="AO1" s="1956"/>
      <c r="AP1" s="1956"/>
      <c r="AQ1" s="1956"/>
    </row>
    <row r="2" spans="1:57" ht="15" customHeight="1">
      <c r="A2" s="1956"/>
      <c r="B2" s="1956"/>
      <c r="C2" s="1956"/>
      <c r="D2" s="1956"/>
      <c r="E2" s="1956"/>
      <c r="F2" s="1956"/>
      <c r="G2" s="1956"/>
      <c r="H2" s="1956"/>
      <c r="I2" s="1956"/>
      <c r="J2" s="1956"/>
      <c r="K2" s="1956"/>
      <c r="L2" s="1956"/>
      <c r="M2" s="1956"/>
      <c r="N2" s="1956"/>
      <c r="O2" s="1956"/>
      <c r="P2" s="1956"/>
      <c r="Q2" s="1956"/>
      <c r="R2" s="1956"/>
      <c r="S2" s="1956"/>
      <c r="T2" s="1956"/>
      <c r="U2" s="1956"/>
      <c r="V2" s="1956"/>
      <c r="W2" s="1956"/>
      <c r="X2" s="1956"/>
      <c r="Y2" s="1956"/>
      <c r="Z2" s="1956"/>
      <c r="AA2" s="1956"/>
      <c r="AB2" s="1956"/>
      <c r="AC2" s="1956"/>
      <c r="AD2" s="1956"/>
      <c r="AE2" s="1956"/>
      <c r="AF2" s="1956"/>
      <c r="AG2" s="1956"/>
      <c r="AH2" s="1956"/>
      <c r="AI2" s="1956"/>
      <c r="AJ2" s="1956"/>
      <c r="AK2" s="1956"/>
      <c r="AL2" s="1956"/>
      <c r="AM2" s="1956"/>
      <c r="AN2" s="1956"/>
      <c r="AO2" s="1956"/>
      <c r="AP2" s="1956"/>
      <c r="AQ2" s="1956"/>
    </row>
    <row r="3" spans="1:57">
      <c r="A3" s="894"/>
      <c r="B3" s="894"/>
      <c r="I3" s="895"/>
      <c r="K3" s="896"/>
    </row>
    <row r="4" spans="1:57" ht="14.25" customHeight="1">
      <c r="A4" s="1945" t="s">
        <v>2023</v>
      </c>
      <c r="B4" s="1945"/>
      <c r="C4" s="1945"/>
      <c r="D4" s="1945"/>
      <c r="E4" s="1945"/>
      <c r="F4" s="1945"/>
      <c r="G4" s="1945"/>
      <c r="H4" s="1945"/>
      <c r="I4" s="1945"/>
      <c r="J4" s="1945"/>
      <c r="K4" s="1945"/>
      <c r="L4" s="1945"/>
      <c r="M4" s="1945"/>
      <c r="N4" s="1945"/>
      <c r="O4" s="1945"/>
      <c r="P4" s="1945"/>
      <c r="Q4" s="1945"/>
      <c r="R4" s="1945"/>
      <c r="S4" s="1945"/>
      <c r="T4" s="1945"/>
      <c r="U4" s="1945"/>
      <c r="V4" s="1945"/>
      <c r="W4" s="1945"/>
      <c r="X4" s="1945"/>
      <c r="Y4" s="1945"/>
      <c r="Z4" s="1945"/>
      <c r="AA4" s="1945"/>
      <c r="AB4" s="1945"/>
      <c r="AC4" s="1945"/>
      <c r="AD4" s="1945"/>
      <c r="AE4" s="1945"/>
      <c r="AF4" s="1945"/>
      <c r="AG4" s="1945"/>
      <c r="AH4" s="1945"/>
      <c r="AI4" s="1945"/>
      <c r="AJ4" s="1945"/>
      <c r="AK4" s="1945"/>
      <c r="AL4" s="1945"/>
      <c r="AM4" s="1945"/>
      <c r="AN4" s="1945"/>
      <c r="AO4" s="1945"/>
      <c r="AP4" s="1945"/>
      <c r="AQ4" s="1945"/>
    </row>
    <row r="5" spans="1:57">
      <c r="A5" s="894"/>
      <c r="B5" s="894"/>
      <c r="I5" s="895"/>
      <c r="K5" s="896"/>
    </row>
    <row r="6" spans="1:57">
      <c r="A6" s="894"/>
      <c r="B6" s="894"/>
      <c r="D6" s="892" t="s">
        <v>2026</v>
      </c>
      <c r="I6" s="895"/>
      <c r="K6" s="896"/>
      <c r="U6" s="1955"/>
      <c r="V6" s="1955"/>
      <c r="W6" s="1955"/>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46"/>
      <c r="Q9" s="1946"/>
      <c r="R9" s="1946"/>
      <c r="S9" s="1946"/>
      <c r="T9" s="1946"/>
    </row>
    <row r="10" spans="1:57">
      <c r="A10" s="894"/>
      <c r="B10" s="894"/>
      <c r="I10" s="895"/>
      <c r="K10" s="896"/>
    </row>
    <row r="11" spans="1:57">
      <c r="A11" s="1945" t="s">
        <v>2029</v>
      </c>
      <c r="B11" s="1945"/>
      <c r="C11" s="1945"/>
      <c r="D11" s="1945"/>
      <c r="E11" s="1945"/>
      <c r="F11" s="1945"/>
      <c r="G11" s="1945"/>
      <c r="H11" s="1945"/>
      <c r="I11" s="1945"/>
      <c r="J11" s="1945"/>
      <c r="K11" s="1945"/>
      <c r="L11" s="1945"/>
      <c r="M11" s="1945"/>
      <c r="N11" s="1945"/>
      <c r="O11" s="1945"/>
      <c r="P11" s="1945"/>
      <c r="Q11" s="1945"/>
      <c r="R11" s="1945"/>
      <c r="S11" s="1945"/>
      <c r="T11" s="1945"/>
      <c r="U11" s="1945"/>
      <c r="V11" s="1945"/>
      <c r="W11" s="1945"/>
      <c r="X11" s="1945"/>
      <c r="Y11" s="1945"/>
      <c r="Z11" s="1945"/>
      <c r="AA11" s="1945"/>
      <c r="AB11" s="1945"/>
      <c r="AC11" s="1945"/>
      <c r="AD11" s="1945"/>
      <c r="AE11" s="1945"/>
      <c r="AF11" s="1945"/>
      <c r="AG11" s="1945"/>
      <c r="AH11" s="1945"/>
      <c r="AI11" s="1945"/>
      <c r="AJ11" s="1945"/>
      <c r="AK11" s="1945"/>
      <c r="AL11" s="1945"/>
      <c r="AM11" s="1945"/>
      <c r="AN11" s="1945"/>
      <c r="AO11" s="1945"/>
      <c r="AP11" s="1945"/>
      <c r="AQ11" s="1945"/>
      <c r="BC11" s="892" t="s">
        <v>108</v>
      </c>
    </row>
    <row r="12" spans="1:57">
      <c r="A12" s="894"/>
      <c r="B12" s="894"/>
      <c r="I12" s="895"/>
      <c r="K12" s="896"/>
      <c r="BC12" s="892" t="s">
        <v>482</v>
      </c>
    </row>
    <row r="13" spans="1:57">
      <c r="A13" s="894"/>
      <c r="B13" s="894"/>
      <c r="D13" s="892" t="s">
        <v>2030</v>
      </c>
      <c r="I13" s="895"/>
      <c r="K13" s="896"/>
      <c r="T13" s="1955"/>
      <c r="U13" s="1955"/>
      <c r="V13" s="1955"/>
    </row>
    <row r="14" spans="1:57">
      <c r="A14" s="894"/>
      <c r="B14" s="894"/>
      <c r="E14" s="892" t="s">
        <v>2037</v>
      </c>
      <c r="I14" s="895"/>
      <c r="K14" s="896"/>
      <c r="N14" s="1943"/>
      <c r="O14" s="1943"/>
      <c r="P14" s="1943"/>
      <c r="Q14" s="1943"/>
      <c r="R14" s="1943"/>
      <c r="S14" s="1943"/>
      <c r="T14" s="1943"/>
      <c r="U14" s="1943"/>
      <c r="V14" s="1943"/>
      <c r="W14" s="1943"/>
      <c r="X14" s="1943"/>
      <c r="Y14" s="1943"/>
      <c r="Z14" s="1943"/>
      <c r="AA14" s="1943"/>
      <c r="AB14" s="1943"/>
      <c r="AC14" s="1943"/>
      <c r="AD14" s="1943"/>
      <c r="AE14" s="1943"/>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2429035.2999999998</v>
      </c>
    </row>
    <row r="16" spans="1:57">
      <c r="A16" s="894"/>
      <c r="B16" s="894"/>
      <c r="BC16" s="892" t="s">
        <v>2041</v>
      </c>
      <c r="BE16" s="892">
        <f>'Basis &amp; Credits'!T11+'Basis &amp; Credits'!AD11</f>
        <v>25760985</v>
      </c>
    </row>
    <row r="17" spans="1:43">
      <c r="A17" s="894"/>
      <c r="B17" s="894"/>
      <c r="D17" s="892" t="s">
        <v>2032</v>
      </c>
      <c r="I17" s="895"/>
      <c r="K17" s="896"/>
      <c r="U17" s="1944" t="str">
        <f>IF(T13="yes",(BE15/BE16)," ")</f>
        <v xml:space="preserve"> </v>
      </c>
      <c r="V17" s="1944"/>
      <c r="W17" s="1944"/>
      <c r="X17" s="1944"/>
      <c r="Y17" s="1944"/>
    </row>
    <row r="18" spans="1:43">
      <c r="A18" s="894"/>
      <c r="B18" s="894"/>
      <c r="I18" s="895"/>
      <c r="K18" s="896"/>
    </row>
    <row r="19" spans="1:43">
      <c r="A19" s="1945" t="s">
        <v>2034</v>
      </c>
      <c r="B19" s="1945"/>
      <c r="C19" s="1945"/>
      <c r="D19" s="1945"/>
      <c r="E19" s="1945"/>
      <c r="F19" s="1945"/>
      <c r="G19" s="1945"/>
      <c r="H19" s="1945"/>
      <c r="I19" s="1945"/>
      <c r="J19" s="1945"/>
      <c r="K19" s="1945"/>
      <c r="L19" s="1945"/>
      <c r="M19" s="1945"/>
      <c r="N19" s="1945"/>
      <c r="O19" s="1945"/>
      <c r="P19" s="1945"/>
      <c r="Q19" s="1945"/>
      <c r="R19" s="1945"/>
      <c r="S19" s="1945"/>
      <c r="T19" s="1945"/>
      <c r="U19" s="1945"/>
      <c r="V19" s="1945"/>
      <c r="W19" s="1945"/>
      <c r="X19" s="1945"/>
      <c r="Y19" s="1945"/>
      <c r="Z19" s="1945"/>
      <c r="AA19" s="1945"/>
      <c r="AB19" s="1945"/>
      <c r="AC19" s="1945"/>
      <c r="AD19" s="1945"/>
      <c r="AE19" s="1945"/>
      <c r="AF19" s="1945"/>
      <c r="AG19" s="1945"/>
      <c r="AH19" s="1945"/>
      <c r="AI19" s="1945"/>
      <c r="AJ19" s="1945"/>
      <c r="AK19" s="1945"/>
      <c r="AL19" s="1945"/>
      <c r="AM19" s="1945"/>
      <c r="AN19" s="1945"/>
      <c r="AO19" s="1945"/>
      <c r="AP19" s="1945"/>
      <c r="AQ19" s="1945"/>
    </row>
    <row r="20" spans="1:43">
      <c r="C20" s="894"/>
      <c r="D20" s="894"/>
      <c r="K20" s="895"/>
      <c r="M20" s="896"/>
    </row>
    <row r="21" spans="1:43">
      <c r="C21" s="894"/>
      <c r="D21" s="894"/>
      <c r="K21" s="895"/>
      <c r="M21" s="896"/>
    </row>
    <row r="22" spans="1:43">
      <c r="C22" s="897" t="s">
        <v>728</v>
      </c>
      <c r="D22" s="897"/>
      <c r="E22" s="892" t="s">
        <v>2035</v>
      </c>
      <c r="H22" s="898"/>
      <c r="K22" s="892"/>
      <c r="Q22" s="1947">
        <f>ROUND('Basis &amp; Credits'!AB55,0)</f>
        <v>2429035</v>
      </c>
      <c r="R22" s="1947"/>
      <c r="S22" s="1947"/>
      <c r="T22" s="1947"/>
      <c r="U22" s="1947"/>
      <c r="V22" s="1947"/>
      <c r="W22" s="1947"/>
      <c r="X22" s="1947"/>
      <c r="Y22" s="912"/>
    </row>
    <row r="23" spans="1:43">
      <c r="C23" s="894"/>
      <c r="D23" s="894"/>
      <c r="G23" s="899"/>
      <c r="H23" s="899"/>
      <c r="I23" s="900"/>
      <c r="J23" s="900"/>
      <c r="K23" s="899"/>
      <c r="M23" s="893"/>
    </row>
    <row r="24" spans="1:43">
      <c r="C24" s="901"/>
      <c r="D24" s="901"/>
      <c r="E24" s="902"/>
      <c r="J24" s="900"/>
      <c r="K24" s="892"/>
      <c r="L24" s="1954" t="s">
        <v>2012</v>
      </c>
      <c r="M24" s="1954"/>
      <c r="N24" s="1954"/>
      <c r="P24" s="1950" t="s">
        <v>2013</v>
      </c>
      <c r="Q24" s="1950"/>
      <c r="R24" s="1950"/>
      <c r="S24" s="1950"/>
      <c r="T24" s="1950"/>
      <c r="V24" s="1950" t="s">
        <v>2014</v>
      </c>
      <c r="W24" s="1950"/>
      <c r="X24" s="1950"/>
    </row>
    <row r="25" spans="1:43">
      <c r="C25" s="897" t="s">
        <v>190</v>
      </c>
      <c r="D25" s="897"/>
      <c r="E25" s="892" t="s">
        <v>986</v>
      </c>
      <c r="J25" s="900"/>
      <c r="L25" s="1951" t="s">
        <v>2015</v>
      </c>
      <c r="M25" s="1951"/>
      <c r="N25" s="1951"/>
      <c r="P25" s="1951" t="s">
        <v>2016</v>
      </c>
      <c r="Q25" s="1951"/>
      <c r="R25" s="1951"/>
      <c r="S25" s="1951"/>
      <c r="T25" s="1951"/>
      <c r="V25" s="1951" t="s">
        <v>2015</v>
      </c>
      <c r="W25" s="1951"/>
      <c r="X25" s="1951"/>
    </row>
    <row r="26" spans="1:43">
      <c r="C26" s="894"/>
      <c r="D26" s="894"/>
      <c r="E26" s="903" t="s">
        <v>2017</v>
      </c>
      <c r="F26" s="903"/>
      <c r="J26" s="904"/>
      <c r="L26" s="1948">
        <f>Application!BN634</f>
        <v>0</v>
      </c>
      <c r="M26" s="1948"/>
      <c r="N26" s="1948"/>
      <c r="P26" s="1952">
        <v>0.9</v>
      </c>
      <c r="Q26" s="1952"/>
      <c r="R26" s="1952"/>
      <c r="S26" s="1952"/>
      <c r="T26" s="1952"/>
      <c r="V26" s="1952">
        <f>L26*P26</f>
        <v>0</v>
      </c>
      <c r="W26" s="1952"/>
      <c r="X26" s="1952"/>
    </row>
    <row r="27" spans="1:43">
      <c r="C27" s="894"/>
      <c r="D27" s="894"/>
      <c r="E27" s="892" t="s">
        <v>2018</v>
      </c>
      <c r="J27" s="904"/>
      <c r="L27" s="1957">
        <f>Application!BS634</f>
        <v>13</v>
      </c>
      <c r="M27" s="1957">
        <f>Application!BS642+Application!BS651+Application!CX665</f>
        <v>0</v>
      </c>
      <c r="N27" s="1957"/>
      <c r="P27" s="1953">
        <v>1</v>
      </c>
      <c r="Q27" s="1953"/>
      <c r="R27" s="1953"/>
      <c r="S27" s="1953"/>
      <c r="T27" s="1953"/>
      <c r="V27" s="1953">
        <f>L27*P27</f>
        <v>13</v>
      </c>
      <c r="W27" s="1953"/>
      <c r="X27" s="1953"/>
    </row>
    <row r="28" spans="1:43">
      <c r="C28" s="894"/>
      <c r="D28" s="894"/>
      <c r="E28" s="892" t="s">
        <v>2019</v>
      </c>
      <c r="J28" s="904"/>
      <c r="L28" s="1957">
        <f>Application!BX634</f>
        <v>23</v>
      </c>
      <c r="M28" s="1957">
        <f>Application!BX642+Application!BX651+Application!DC665</f>
        <v>0</v>
      </c>
      <c r="N28" s="1957"/>
      <c r="P28" s="1953">
        <v>1.25</v>
      </c>
      <c r="Q28" s="1953"/>
      <c r="R28" s="1953"/>
      <c r="S28" s="1953"/>
      <c r="T28" s="1953"/>
      <c r="V28" s="1953">
        <f>L28*P28</f>
        <v>28.75</v>
      </c>
      <c r="W28" s="1953"/>
      <c r="X28" s="1953"/>
    </row>
    <row r="29" spans="1:43">
      <c r="C29" s="894"/>
      <c r="D29" s="894"/>
      <c r="E29" s="892" t="s">
        <v>2020</v>
      </c>
      <c r="J29" s="904"/>
      <c r="L29" s="1957">
        <f>Application!CC634</f>
        <v>13</v>
      </c>
      <c r="M29" s="1957">
        <f>Application!CC642+Application!CC651+Application!DH665</f>
        <v>0</v>
      </c>
      <c r="N29" s="1957"/>
      <c r="P29" s="1953">
        <v>1.5</v>
      </c>
      <c r="Q29" s="1953"/>
      <c r="R29" s="1953"/>
      <c r="S29" s="1953"/>
      <c r="T29" s="1953"/>
      <c r="V29" s="1953">
        <f>L29*P29</f>
        <v>19.5</v>
      </c>
      <c r="W29" s="1953"/>
      <c r="X29" s="1953"/>
    </row>
    <row r="30" spans="1:43">
      <c r="C30" s="894"/>
      <c r="D30" s="894"/>
      <c r="E30" s="892" t="s">
        <v>2021</v>
      </c>
      <c r="J30" s="904"/>
      <c r="L30" s="1958">
        <f>Application!CH634+Application!CM634</f>
        <v>0</v>
      </c>
      <c r="M30" s="1958"/>
      <c r="N30" s="1958"/>
      <c r="P30" s="1953">
        <v>1.75</v>
      </c>
      <c r="Q30" s="1953"/>
      <c r="R30" s="1953">
        <f>1.75+0.25*0</f>
        <v>1.75</v>
      </c>
      <c r="S30" s="1953"/>
      <c r="T30" s="1953"/>
      <c r="V30" s="1962">
        <f>L30*P30</f>
        <v>0</v>
      </c>
      <c r="W30" s="1962"/>
      <c r="X30" s="1962"/>
    </row>
    <row r="31" spans="1:43">
      <c r="C31" s="894"/>
      <c r="D31" s="894"/>
      <c r="L31" s="1948">
        <f>SUM(L26:N30)</f>
        <v>49</v>
      </c>
      <c r="M31" s="1949"/>
      <c r="N31" s="1949"/>
      <c r="V31" s="1952">
        <f>SUM(V26:X30)</f>
        <v>61.25</v>
      </c>
      <c r="W31" s="1952"/>
      <c r="X31" s="1952"/>
    </row>
    <row r="32" spans="1:43">
      <c r="C32" s="894"/>
      <c r="D32" s="894"/>
      <c r="K32" s="905"/>
    </row>
    <row r="33" spans="1:27">
      <c r="C33" s="897" t="s">
        <v>191</v>
      </c>
      <c r="D33" s="897"/>
      <c r="E33" s="894" t="s">
        <v>2036</v>
      </c>
      <c r="H33" s="906"/>
      <c r="I33" s="907"/>
      <c r="J33" s="908"/>
      <c r="K33" s="905"/>
      <c r="M33" s="893"/>
      <c r="V33" s="1959">
        <f>IF(V31&gt;0,V31/Q22," ")</f>
        <v>2.5215774988833014E-5</v>
      </c>
      <c r="W33" s="1960"/>
      <c r="X33" s="1960"/>
      <c r="Y33" s="1960"/>
      <c r="Z33" s="1960"/>
      <c r="AA33" s="1961"/>
    </row>
    <row r="34" spans="1:27">
      <c r="K34" s="892"/>
      <c r="M34" s="893"/>
    </row>
    <row r="35" spans="1:27">
      <c r="E35" s="894" t="s">
        <v>2042</v>
      </c>
      <c r="F35" s="894"/>
      <c r="G35" s="894"/>
      <c r="H35" s="894"/>
      <c r="I35" s="894"/>
      <c r="J35" s="894"/>
      <c r="K35" s="894"/>
      <c r="L35" s="894"/>
      <c r="M35" s="914"/>
      <c r="N35" s="894"/>
      <c r="O35" s="894"/>
      <c r="P35" s="894"/>
      <c r="Q35" s="894"/>
      <c r="R35" s="894"/>
      <c r="V35" s="1940">
        <f>IF(V31&gt;0,1/V33," ")</f>
        <v>39657.714285714283</v>
      </c>
      <c r="W35" s="1941"/>
      <c r="X35" s="1941"/>
      <c r="Y35" s="1941"/>
      <c r="Z35" s="1941"/>
      <c r="AA35" s="1942"/>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Wilson</cp:lastModifiedBy>
  <cp:lastPrinted>2025-07-08T16:50:06Z</cp:lastPrinted>
  <dcterms:created xsi:type="dcterms:W3CDTF">2007-12-27T18:26:28Z</dcterms:created>
  <dcterms:modified xsi:type="dcterms:W3CDTF">2025-07-08T16:52:16Z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2025-05-27T22:13:05Z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e720a903-75e3-42cf-aab3-b06bec5e9923</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