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S:\Accepted\2025\02 August 5, 2025\25-560 River Street Apartments\"/>
    </mc:Choice>
  </mc:AlternateContent>
  <xr:revisionPtr revIDLastSave="0" documentId="13_ncr:1_{58ED220B-2795-47BC-8F23-34900939C336}" xr6:coauthVersionLast="47" xr6:coauthVersionMax="47" xr10:uidLastSave="{00000000-0000-0000-0000-000000000000}"/>
  <bookViews>
    <workbookView xWindow="-108" yWindow="-108" windowWidth="41496" windowHeight="16896"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6" i="3" l="1"/>
  <c r="H99" i="4"/>
  <c r="S43" i="4"/>
  <c r="AC889" i="3"/>
  <c r="E41" i="4"/>
  <c r="E40" i="4"/>
  <c r="S41" i="4"/>
  <c r="S47" i="4"/>
  <c r="S48" i="4"/>
  <c r="S50" i="4"/>
  <c r="S51" i="4"/>
  <c r="S52" i="4"/>
  <c r="S46" i="4"/>
  <c r="S45" i="4"/>
  <c r="S80" i="4"/>
  <c r="S79" i="4"/>
  <c r="S86" i="4"/>
  <c r="S85" i="4"/>
  <c r="G86" i="4"/>
  <c r="G85" i="4"/>
  <c r="G80" i="4"/>
  <c r="G79" i="4"/>
  <c r="G46" i="4"/>
  <c r="G47" i="4"/>
  <c r="G48" i="4"/>
  <c r="G49" i="4"/>
  <c r="G50" i="4"/>
  <c r="G51" i="4"/>
  <c r="G52" i="4"/>
  <c r="G53" i="4"/>
  <c r="G45" i="4"/>
  <c r="G41" i="4"/>
  <c r="G40" i="4"/>
  <c r="G32" i="4"/>
  <c r="G33" i="4"/>
  <c r="G34" i="4"/>
  <c r="G35" i="4"/>
  <c r="G36" i="4"/>
  <c r="G31" i="4"/>
  <c r="G30" i="4"/>
  <c r="S40" i="4"/>
  <c r="S31" i="4"/>
  <c r="S32" i="4"/>
  <c r="S33" i="4"/>
  <c r="S34" i="4"/>
  <c r="S35" i="4"/>
  <c r="S36" i="4"/>
  <c r="S37" i="4"/>
  <c r="S30" i="4"/>
  <c r="S29" i="4"/>
  <c r="F24" i="8"/>
  <c r="F23" i="8"/>
  <c r="F22" i="8"/>
  <c r="F21" i="8"/>
  <c r="F20" i="8"/>
  <c r="F19" i="8"/>
  <c r="F18" i="8"/>
  <c r="F17" i="8"/>
  <c r="F16" i="8"/>
  <c r="S92" i="4"/>
  <c r="E84" i="4"/>
  <c r="E85" i="4"/>
  <c r="E86" i="4"/>
  <c r="E87" i="4"/>
  <c r="E88" i="4"/>
  <c r="E89" i="4"/>
  <c r="E90" i="4"/>
  <c r="E91" i="4"/>
  <c r="E92" i="4"/>
  <c r="E93" i="4"/>
  <c r="E83" i="4"/>
  <c r="E80" i="4"/>
  <c r="E79" i="4"/>
  <c r="E75" i="4"/>
  <c r="E65" i="4"/>
  <c r="E58" i="4"/>
  <c r="E56" i="4"/>
  <c r="E46" i="4"/>
  <c r="E47" i="4"/>
  <c r="E48" i="4"/>
  <c r="E49" i="4"/>
  <c r="E50" i="4"/>
  <c r="E51" i="4"/>
  <c r="E52" i="4"/>
  <c r="E53" i="4"/>
  <c r="AB240" i="20" l="1"/>
  <c r="M961" i="3"/>
  <c r="AG448"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O51" i="21" l="1"/>
  <c r="U45" i="21"/>
  <c r="T45" i="21"/>
  <c r="S45" i="21"/>
  <c r="R53" i="21" a="1"/>
  <c r="R53" i="21" s="1"/>
  <c r="T49" i="21"/>
  <c r="P49" i="21" a="1"/>
  <c r="P49" i="21" s="1"/>
  <c r="U49" i="21"/>
  <c r="U46" i="21"/>
  <c r="S49" i="21"/>
  <c r="R49" i="21" a="1"/>
  <c r="R49" i="21" s="1"/>
  <c r="S52" i="21"/>
  <c r="P52" i="21" a="1"/>
  <c r="P52" i="21" s="1"/>
  <c r="U51" i="21"/>
  <c r="U47" i="21"/>
  <c r="P51" i="21" a="1"/>
  <c r="P51" i="21" s="1"/>
  <c r="T47" i="21"/>
  <c r="U48" i="21"/>
  <c r="T48" i="21"/>
  <c r="S48" i="21"/>
  <c r="R48" i="21" a="1"/>
  <c r="R48" i="21" s="1"/>
  <c r="U50" i="21"/>
  <c r="P48" i="21" a="1"/>
  <c r="P48" i="21" s="1"/>
  <c r="U53" i="21"/>
  <c r="T53" i="21"/>
  <c r="S50" i="21"/>
  <c r="P50" i="21" a="1"/>
  <c r="P50" i="21" s="1"/>
  <c r="O50" i="21"/>
  <c r="S47" i="21"/>
  <c r="R47" i="21" a="1"/>
  <c r="R47" i="21" s="1"/>
  <c r="T51" i="21"/>
  <c r="T46" i="21"/>
  <c r="S51"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M37" i="21"/>
  <c r="M38" i="21"/>
  <c r="M39" i="21"/>
  <c r="M40" i="2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E36" i="13" s="1"/>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S84" i="4" s="1"/>
  <c r="E84" i="13" s="1"/>
  <c r="B59" i="4"/>
  <c r="C80" i="11"/>
  <c r="C81" i="11"/>
  <c r="B80" i="11"/>
  <c r="B81" i="11"/>
  <c r="I96" i="13"/>
  <c r="J96" i="13"/>
  <c r="J81" i="13"/>
  <c r="I81" i="13"/>
  <c r="G81" i="13"/>
  <c r="F81" i="13"/>
  <c r="D81" i="13"/>
  <c r="C81" i="13"/>
  <c r="H80" i="13"/>
  <c r="B80" i="13"/>
  <c r="R80" i="4"/>
  <c r="E80" i="13" s="1"/>
  <c r="R79" i="4"/>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5" i="13"/>
  <c r="E79" i="13"/>
  <c r="E47" i="13"/>
  <c r="E46" i="13"/>
  <c r="E43" i="13"/>
  <c r="E37" i="13"/>
  <c r="E35" i="13"/>
  <c r="E34"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R90" i="4"/>
  <c r="R89" i="4"/>
  <c r="R88" i="4"/>
  <c r="R87" i="4"/>
  <c r="S87" i="4" s="1"/>
  <c r="E87" i="13" s="1"/>
  <c r="R86" i="4"/>
  <c r="E86" i="13" s="1"/>
  <c r="R85" i="4"/>
  <c r="R83" i="4"/>
  <c r="R76" i="4"/>
  <c r="R75" i="4"/>
  <c r="R72" i="4"/>
  <c r="R73" i="4"/>
  <c r="R74" i="4"/>
  <c r="R69" i="4"/>
  <c r="R65" i="4"/>
  <c r="S65" i="4" s="1"/>
  <c r="S70" i="4" s="1"/>
  <c r="E70" i="13" s="1"/>
  <c r="R61" i="4"/>
  <c r="R60" i="4"/>
  <c r="R59" i="4"/>
  <c r="R58" i="4"/>
  <c r="R57" i="4"/>
  <c r="R56" i="4"/>
  <c r="R53" i="4"/>
  <c r="S53" i="4" s="1"/>
  <c r="E53" i="13" s="1"/>
  <c r="R52" i="4"/>
  <c r="E52" i="13" s="1"/>
  <c r="R51" i="4"/>
  <c r="E51" i="13" s="1"/>
  <c r="R50" i="4"/>
  <c r="E50" i="13" s="1"/>
  <c r="R49" i="4"/>
  <c r="E49" i="13" s="1"/>
  <c r="R48" i="4"/>
  <c r="E48" i="13" s="1"/>
  <c r="R47" i="4"/>
  <c r="R46" i="4"/>
  <c r="R41" i="4"/>
  <c r="E41" i="13" s="1"/>
  <c r="R40" i="4"/>
  <c r="R37" i="4"/>
  <c r="R29" i="4"/>
  <c r="R27" i="4"/>
  <c r="R25" i="4"/>
  <c r="R23" i="4"/>
  <c r="R22" i="4"/>
  <c r="R21" i="4"/>
  <c r="R20" i="4"/>
  <c r="R19" i="4"/>
  <c r="R18" i="4"/>
  <c r="R17" i="4"/>
  <c r="R15" i="4"/>
  <c r="R14" i="4"/>
  <c r="R13" i="4"/>
  <c r="R9"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I16" i="8" s="1"/>
  <c r="A17" i="8"/>
  <c r="D17" i="8"/>
  <c r="I17" i="8" s="1"/>
  <c r="A18" i="8"/>
  <c r="D18" i="8"/>
  <c r="I18" i="8" s="1"/>
  <c r="A19" i="8"/>
  <c r="D19" i="8"/>
  <c r="I19" i="8" s="1"/>
  <c r="A20" i="8"/>
  <c r="D20" i="8"/>
  <c r="I20" i="8" s="1"/>
  <c r="A21" i="8"/>
  <c r="D21" i="8"/>
  <c r="I21" i="8" s="1"/>
  <c r="A22" i="8"/>
  <c r="D22" i="8"/>
  <c r="I22" i="8" s="1"/>
  <c r="A23" i="8"/>
  <c r="D23" i="8"/>
  <c r="I23" i="8" s="1"/>
  <c r="A24" i="8"/>
  <c r="D24" i="8"/>
  <c r="I24" i="8" s="1"/>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5" i="4"/>
  <c r="B6" i="4"/>
  <c r="B7" i="4"/>
  <c r="E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E30" i="4" s="1"/>
  <c r="R30" i="4" s="1"/>
  <c r="E30" i="13" s="1"/>
  <c r="B31" i="4"/>
  <c r="E31" i="4" s="1"/>
  <c r="B32" i="4"/>
  <c r="E32" i="4" s="1"/>
  <c r="R32" i="4" s="1"/>
  <c r="E32" i="13" s="1"/>
  <c r="B33" i="4"/>
  <c r="E33" i="4" s="1"/>
  <c r="R33" i="4" s="1"/>
  <c r="E33" i="13" s="1"/>
  <c r="B34" i="4"/>
  <c r="E34" i="4" s="1"/>
  <c r="R34" i="4" s="1"/>
  <c r="B35" i="4"/>
  <c r="E35" i="4" s="1"/>
  <c r="R35" i="4" s="1"/>
  <c r="B37" i="4"/>
  <c r="G38" i="4"/>
  <c r="H38" i="4"/>
  <c r="K38" i="4"/>
  <c r="L38" i="4"/>
  <c r="O38" i="4"/>
  <c r="P38" i="4"/>
  <c r="P42" i="4"/>
  <c r="P54" i="4"/>
  <c r="P62" i="4"/>
  <c r="P70" i="4"/>
  <c r="P77" i="4"/>
  <c r="P96" i="4"/>
  <c r="P104" i="4"/>
  <c r="Q38" i="4"/>
  <c r="B40" i="4"/>
  <c r="B41" i="4"/>
  <c r="E42" i="4"/>
  <c r="G42" i="4"/>
  <c r="H42" i="4"/>
  <c r="K42" i="4"/>
  <c r="L42" i="4"/>
  <c r="O42" i="4"/>
  <c r="Q42" i="4"/>
  <c r="B43" i="4"/>
  <c r="E43" i="4" s="1"/>
  <c r="R43" i="4" s="1"/>
  <c r="B45" i="4"/>
  <c r="E45" i="4" s="1"/>
  <c r="E54" i="4" s="1"/>
  <c r="B46"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AH736" i="3" s="1"/>
  <c r="X737" i="3"/>
  <c r="AH737" i="3" s="1"/>
  <c r="X738" i="3"/>
  <c r="AH738" i="3" s="1"/>
  <c r="X739" i="3"/>
  <c r="X740" i="3"/>
  <c r="X741" i="3"/>
  <c r="M832" i="3"/>
  <c r="Q832" i="3"/>
  <c r="U832" i="3"/>
  <c r="Y832" i="3"/>
  <c r="AC832" i="3"/>
  <c r="AG832" i="3"/>
  <c r="Z902" i="3"/>
  <c r="J22" i="8" l="1"/>
  <c r="J21" i="8"/>
  <c r="E38" i="4"/>
  <c r="E63" i="4" s="1"/>
  <c r="E97" i="4" s="1"/>
  <c r="E105" i="4" s="1"/>
  <c r="J19" i="8"/>
  <c r="R31" i="4"/>
  <c r="R38" i="4" s="1"/>
  <c r="D36" i="11"/>
  <c r="J20" i="8"/>
  <c r="R45" i="4"/>
  <c r="R54" i="4" s="1"/>
  <c r="BE23" i="3"/>
  <c r="F4" i="4"/>
  <c r="J18" i="8"/>
  <c r="E65" i="13"/>
  <c r="J23" i="8"/>
  <c r="S42" i="4"/>
  <c r="E42" i="13" s="1"/>
  <c r="S96" i="4"/>
  <c r="E96" i="13" s="1"/>
  <c r="S54" i="4"/>
  <c r="E54" i="13" s="1"/>
  <c r="E45" i="13"/>
  <c r="E40" i="13"/>
  <c r="S38" i="4"/>
  <c r="E38" i="13" s="1"/>
  <c r="S104" i="4"/>
  <c r="BA1058" i="3" s="1"/>
  <c r="J16" i="8"/>
  <c r="J24" i="8"/>
  <c r="J17" i="8"/>
  <c r="B26" i="4"/>
  <c r="D35"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6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S43" i="21"/>
  <c r="S42" i="21"/>
  <c r="U20" i="21"/>
  <c r="S41" i="21"/>
  <c r="U33" i="21"/>
  <c r="U32" i="21"/>
  <c r="U24" i="21"/>
  <c r="U28"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AV122" i="20"/>
  <c r="AW121" i="20" s="1"/>
  <c r="R36" i="21" a="1"/>
  <c r="R36" i="21" s="1"/>
  <c r="R22" i="21" a="1"/>
  <c r="R22" i="21" s="1"/>
  <c r="T38" i="21"/>
  <c r="T29" i="21"/>
  <c r="T20" i="2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G94" i="21"/>
  <c r="S63" i="4"/>
  <c r="E63" i="13" s="1"/>
  <c r="E104" i="13"/>
  <c r="J40" i="8"/>
  <c r="Z809" i="3" s="1"/>
  <c r="F8" i="4"/>
  <c r="R4" i="4"/>
  <c r="R8" i="4" s="1"/>
  <c r="R63" i="4" s="1"/>
  <c r="R97" i="4" s="1"/>
  <c r="R105" i="4" s="1"/>
  <c r="D105" i="1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37" i="21" s="1"/>
  <c r="P37" i="21" s="1" a="1"/>
  <c r="P37" i="21" s="1"/>
  <c r="S37"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R12" i="4"/>
  <c r="F12" i="4"/>
  <c r="F63" i="4"/>
  <c r="F97" i="4" s="1"/>
  <c r="F105" i="4" s="1"/>
  <c r="O40" i="21"/>
  <c r="P40" i="21" s="1" a="1"/>
  <c r="P40" i="21" s="1"/>
  <c r="S40" i="21" s="1"/>
  <c r="O39" i="21"/>
  <c r="P39" i="21" s="1" a="1"/>
  <c r="P39" i="21" s="1"/>
  <c r="S39" i="21" s="1"/>
  <c r="O38" i="21"/>
  <c r="P38" i="21" s="1" a="1"/>
  <c r="P38" i="21" s="1"/>
  <c r="S38" i="21" s="1"/>
  <c r="O34" i="21"/>
  <c r="P34" i="21" s="1" a="1"/>
  <c r="P34" i="21" s="1"/>
  <c r="S34" i="21" s="1"/>
  <c r="O36" i="21"/>
  <c r="P36" i="21" s="1" a="1"/>
  <c r="P36" i="21" s="1"/>
  <c r="S36" i="21" s="1"/>
  <c r="O35" i="21"/>
  <c r="P35" i="21" s="1" a="1"/>
  <c r="P35" i="21" s="1"/>
  <c r="S35" i="21" s="1"/>
  <c r="O20" i="21"/>
  <c r="P20" i="21" s="1" a="1"/>
  <c r="P20" i="21" s="1"/>
  <c r="S20" i="21" s="1"/>
  <c r="O33" i="21"/>
  <c r="P33" i="21" s="1" a="1"/>
  <c r="P33" i="21" s="1"/>
  <c r="S33" i="21" s="1"/>
  <c r="O32" i="21"/>
  <c r="P32" i="21" s="1" a="1"/>
  <c r="P32" i="21" s="1"/>
  <c r="S32" i="21" s="1"/>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711" i="20" l="1"/>
  <c r="AK794" i="20" s="1"/>
  <c r="T819" i="20" s="1"/>
  <c r="AF819" i="20" s="1"/>
  <c r="BE82" i="3" s="1"/>
  <c r="AD11" i="15"/>
  <c r="AD23" i="15" s="1"/>
  <c r="AD26" i="15" s="1"/>
  <c r="AD28" i="15" s="1"/>
  <c r="AI11" i="15"/>
  <c r="AI23" i="15" s="1"/>
  <c r="AI26" i="15" s="1"/>
  <c r="AI28" i="15" s="1"/>
  <c r="AC456" i="3"/>
  <c r="AJ994" i="3"/>
  <c r="AJ1029" i="3"/>
  <c r="AJ1036" i="3"/>
  <c r="I15" i="21" s="1"/>
  <c r="AJ101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K11" i="7"/>
  <c r="K37" i="7" s="1"/>
  <c r="K45" i="7" s="1"/>
  <c r="E66" i="7"/>
  <c r="E67" i="7"/>
  <c r="O5" i="7"/>
  <c r="Q4" i="7"/>
  <c r="M7" i="7"/>
  <c r="M11" i="7" s="1"/>
  <c r="M37" i="7" s="1"/>
  <c r="O6" i="7"/>
  <c r="G67" i="7"/>
  <c r="G62" i="7"/>
  <c r="G66"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<sst xmlns="http://schemas.openxmlformats.org/spreadsheetml/2006/main" count="5029" uniqueCount="2728">
  <si>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</si>
  <si>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</si>
  <si>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</si>
  <si>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</si>
  <si>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</si>
  <si>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</si>
  <si>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</si>
  <si>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</si>
  <si>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</si>
  <si>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</si>
  <si>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</si>
  <si>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</si>
  <si>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</si>
  <si>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</si>
  <si>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</si>
  <si>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</si>
  <si>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</si>
  <si>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</si>
  <si>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</si>
  <si>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</si>
  <si>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</si>
  <si>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</si>
  <si>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</si>
  <si>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</si>
  <si>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</si>
  <si>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</si>
  <si>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</si>
  <si>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</si>
  <si>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</si>
  <si>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</si>
  <si>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</si>
  <si>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</si>
  <si>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</si>
  <si>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</si>
  <si>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</si>
  <si>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</si>
  <si>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</si>
  <si>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</si>
  <si>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</si>
  <si>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</si>
  <si>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</si>
  <si>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</si>
  <si>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</si>
  <si>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</si>
  <si>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</si>
  <si>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</si>
  <si>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</si>
  <si>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</si>
  <si>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</si>
  <si>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</si>
  <si>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</si>
  <si>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</si>
  <si>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</si>
  <si>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</si>
  <si>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</si>
  <si>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</si>
  <si>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</si>
  <si>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</si>
  <si>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</si>
  <si>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</si>
  <si>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</si>
  <si>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</si>
  <si>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</si>
  <si>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</si>
  <si>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</si>
  <si>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</si>
  <si>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</si>
  <si>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</si>
  <si>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</si>
  <si>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</si>
  <si>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</si>
  <si>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</si>
  <si>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</si>
  <si>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</si>
  <si>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</si>
  <si>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</si>
  <si>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</si>
  <si>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</si>
  <si>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</si>
  <si>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</si>
  <si>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</si>
  <si>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</si>
  <si>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</si>
  <si>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</si>
  <si>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</si>
  <si>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</si>
  <si>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</si>
  <si>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</si>
  <si>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</si>
  <si>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</si>
  <si>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</si>
  <si>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</si>
  <si>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</si>
  <si>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</si>
  <si>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</si>
  <si>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</si>
  <si>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</si>
  <si>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</si>
  <si>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</si>
  <si>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</si>
  <si>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</si>
  <si>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</si>
  <si>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</si>
  <si>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</si>
  <si>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</si>
  <si>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</si>
  <si>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</si>
  <si>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</si>
  <si>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</si>
  <si>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</si>
  <si>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</si>
  <si>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</si>
  <si>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</si>
  <si>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</si>
  <si>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</si>
  <si>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</si>
  <si>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</si>
  <si>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</si>
  <si>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</si>
  <si>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</si>
  <si>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</si>
  <si>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</si>
  <si>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</si>
  <si>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</si>
  <si>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</si>
  <si>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</si>
  <si>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</si>
  <si>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</si>
  <si>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</si>
  <si>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</si>
  <si>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</si>
  <si>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</si>
  <si>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</si>
  <si>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</si>
  <si>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</si>
  <si>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</si>
  <si>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</si>
  <si>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</si>
  <si>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</si>
  <si>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</si>
  <si>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</si>
  <si>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</si>
  <si>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</si>
  <si>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</si>
  <si>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</si>
  <si>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</si>
  <si>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</si>
  <si>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</si>
  <si>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</si>
  <si>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</si>
  <si>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</si>
  <si>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</si>
  <si>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</si>
  <si>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</si>
  <si>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</si>
  <si>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</si>
  <si>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</si>
  <si>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</si>
  <si>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</si>
  <si>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</si>
  <si>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</si>
  <si>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</si>
  <si>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</si>
  <si>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</si>
  <si>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</si>
  <si>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</si>
  <si>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</si>
  <si>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</si>
  <si>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</si>
  <si>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</si>
  <si>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</si>
  <si>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</si>
  <si>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</si>
  <si>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</si>
  <si>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</si>
  <si>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</si>
  <si>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</si>
  <si>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</si>
  <si>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</si>
  <si>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</si>
  <si>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</si>
  <si>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</si>
  <si>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</si>
  <si>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</si>
  <si>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</si>
  <si>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</si>
  <si>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</si>
  <si>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</si>
  <si>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</si>
  <si>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</si>
  <si>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</si>
  <si>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</si>
  <si>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</si>
  <si>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</si>
  <si>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</si>
  <si>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</si>
  <si>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</si>
  <si>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</si>
  <si>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</si>
  <si>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</si>
  <si>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</si>
  <si>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</si>
  <si>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</si>
  <si>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</si>
  <si>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</si>
  <si>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</si>
  <si>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</si>
  <si>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</si>
  <si>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</si>
  <si>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</si>
  <si>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</si>
  <si>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</si>
  <si>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</si>
  <si>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</si>
  <si>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</si>
  <si>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</si>
  <si>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</si>
  <si>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</si>
  <si>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</si>
  <si>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</si>
  <si>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</si>
  <si>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</si>
  <si>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</si>
  <si>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</si>
  <si>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</si>
  <si>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</si>
  <si>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</si>
  <si>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</si>
  <si>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</si>
  <si>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</si>
  <si>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</si>
  <si>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</si>
  <si>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</si>
  <si>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</si>
  <si>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</si>
  <si>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</si>
  <si>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</si>
  <si>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</si>
  <si>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</si>
  <si>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</si>
  <si>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</si>
  <si>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</si>
  <si>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</si>
  <si>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</si>
  <si>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</si>
  <si>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</si>
  <si>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</si>
  <si>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</si>
  <si>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</si>
  <si>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</si>
  <si>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</si>
  <si>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</si>
  <si>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</si>
  <si>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</si>
  <si>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</si>
  <si>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</si>
  <si>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</si>
  <si>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</si>
  <si>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</si>
  <si>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</si>
  <si>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</si>
  <si>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</si>
  <si>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</si>
  <si>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</si>
  <si>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</si>
  <si>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</si>
  <si>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</si>
  <si>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</si>
  <si>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</si>
  <si>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</si>
  <si>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</si>
  <si>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</si>
  <si>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</si>
  <si>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</si>
  <si>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</si>
  <si>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</si>
  <si>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</si>
  <si>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</si>
  <si>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</si>
  <si>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</si>
  <si>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</si>
  <si>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</si>
  <si>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</si>
  <si>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</si>
  <si>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</si>
  <si>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</si>
  <si>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</si>
  <si>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</si>
  <si>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</si>
  <si>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</si>
  <si>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</si>
  <si>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</si>
  <si>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</si>
  <si>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</si>
  <si>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</si>
  <si>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</si>
  <si>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</si>
  <si>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</si>
  <si>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</si>
  <si>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</si>
  <si>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</si>
  <si>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</si>
  <si>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</si>
  <si>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</si>
  <si>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</si>
  <si>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</si>
  <si>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</si>
  <si>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</si>
  <si>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</si>
  <si>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</si>
  <si>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</si>
  <si>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</si>
  <si>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</si>
  <si>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</si>
  <si>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</si>
  <si>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</si>
  <si>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</si>
  <si>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</si>
  <si>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</si>
  <si>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</si>
  <si>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</si>
  <si>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</si>
  <si>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</si>
  <si>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</si>
  <si>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</si>
  <si>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</si>
  <si>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</si>
  <si>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</si>
  <si>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</si>
  <si>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</si>
  <si>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</si>
  <si>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</si>
  <si>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</si>
  <si>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</si>
  <si>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</si>
  <si>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</si>
  <si>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</si>
  <si>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</si>
  <si>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</si>
  <si>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</si>
  <si>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</si>
  <si>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</si>
  <si>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</si>
  <si>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</si>
  <si>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</si>
  <si>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</si>
  <si>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</si>
  <si>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</si>
  <si>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</si>
  <si>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</si>
  <si>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</si>
  <si>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</si>
  <si>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</si>
  <si>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</si>
  <si>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</si>
  <si>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</si>
  <si>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</si>
  <si>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</si>
  <si>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</si>
  <si>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</si>
  <si>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</si>
  <si>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</si>
  <si>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</si>
  <si>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</si>
  <si>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</si>
  <si>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</si>
  <si>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</si>
  <si>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</si>
  <si>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</si>
  <si>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</si>
  <si>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</si>
  <si>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</si>
  <si>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</si>
  <si>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</si>
  <si>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</si>
  <si>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</si>
  <si>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</si>
  <si>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</si>
  <si>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</si>
  <si>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</si>
  <si>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</si>
  <si>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</si>
  <si>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</si>
  <si>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</si>
  <si>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</si>
  <si>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</si>
  <si>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</si>
  <si>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</si>
  <si>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</si>
  <si>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</si>
  <si>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</si>
  <si>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</si>
  <si>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</si>
  <si>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</si>
  <si>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</si>
  <si>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</si>
  <si>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</si>
  <si>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</si>
  <si>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</si>
  <si>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</si>
  <si>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</si>
  <si>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</si>
  <si>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</si>
  <si>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</si>
  <si>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</si>
  <si>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</si>
  <si>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</si>
  <si>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</si>
  <si>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</si>
  <si>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</si>
  <si>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</si>
  <si>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</si>
  <si>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</si>
  <si>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</si>
  <si>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</si>
  <si>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</si>
  <si>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</si>
  <si>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</si>
  <si>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</si>
  <si>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</si>
  <si>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</si>
  <si>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</si>
  <si>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</si>
  <si>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</si>
  <si>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</si>
  <si>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</si>
  <si>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</si>
  <si>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</si>
  <si>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</si>
  <si>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</si>
  <si>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</si>
  <si>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</si>
  <si>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</si>
  <si>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</si>
  <si>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</si>
  <si>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</si>
  <si>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</si>
  <si>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</si>
  <si>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</si>
  <si>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</si>
  <si>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</si>
  <si>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</si>
  <si>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</si>
  <si>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</si>
  <si>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</si>
  <si>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</si>
  <si>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</si>
  <si>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</si>
  <si>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</si>
  <si>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</si>
  <si>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</si>
  <si>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</si>
  <si>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</si>
  <si>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</si>
  <si>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</si>
  <si>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</si>
  <si>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</si>
  <si>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</si>
  <si>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</si>
  <si>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</si>
  <si>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</si>
  <si>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</si>
  <si>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</si>
  <si>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</si>
  <si>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</si>
  <si>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</si>
  <si>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</si>
  <si>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</si>
  <si>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</si>
  <si>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</si>
  <si>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</si>
  <si>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</si>
  <si>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</si>
  <si>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</si>
  <si>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</si>
  <si>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</si>
  <si>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</si>
  <si>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</si>
  <si>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</si>
  <si>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</si>
  <si>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</si>
  <si>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</si>
  <si>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</si>
  <si>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</si>
  <si>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</si>
  <si>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</si>
  <si>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</si>
  <si>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</si>
  <si>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</si>
  <si>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</si>
  <si>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</si>
  <si>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</si>
  <si>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</si>
  <si>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</si>
  <si>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</si>
  <si>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</si>
  <si>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</si>
  <si>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</si>
  <si>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</si>
  <si>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</si>
  <si>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</si>
  <si>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</si>
  <si>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</si>
  <si>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</si>
  <si>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</si>
  <si>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</si>
  <si>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</si>
  <si>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</si>
  <si>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</si>
  <si>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</si>
  <si>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</si>
  <si>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</si>
  <si>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</si>
  <si>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</si>
  <si>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</si>
  <si>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</si>
  <si>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</si>
  <si>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</si>
  <si>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</si>
  <si>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</si>
  <si>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</si>
  <si>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</si>
  <si>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</si>
  <si>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</si>
  <si>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</si>
  <si>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</si>
  <si>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</si>
  <si>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</si>
  <si>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</si>
  <si>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</si>
  <si>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</si>
  <si>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</si>
  <si>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</si>
  <si>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</si>
  <si>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</si>
  <si>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</si>
  <si>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</si>
  <si>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</si>
  <si>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</si>
  <si>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</si>
  <si>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</si>
  <si>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</si>
  <si>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</si>
  <si>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</si>
  <si>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</si>
  <si>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</si>
  <si>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</si>
  <si>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</si>
  <si>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</si>
  <si>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</si>
  <si>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</si>
  <si>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</si>
  <si>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</si>
  <si>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</si>
  <si>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</si>
  <si>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</si>
  <si>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</si>
  <si>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</si>
  <si>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</si>
  <si>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</si>
  <si>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</si>
  <si>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</si>
  <si>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</si>
  <si>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</si>
  <si>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</si>
  <si>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</si>
  <si>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</si>
  <si>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</si>
  <si>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</si>
  <si>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</si>
  <si>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</si>
  <si>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</si>
  <si>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</si>
  <si>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</si>
  <si>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</si>
  <si>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</si>
  <si>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</si>
  <si>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</si>
  <si>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</si>
  <si>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</si>
  <si>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</si>
  <si>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</si>
  <si>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</si>
  <si>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</si>
  <si>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</si>
  <si>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</si>
  <si>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</si>
  <si>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</si>
  <si>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</si>
  <si>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</si>
  <si>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</si>
  <si>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</si>
  <si>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</si>
  <si>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</si>
  <si>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</si>
  <si>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</si>
  <si>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</si>
  <si>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</si>
  <si>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</si>
  <si>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</si>
  <si>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</si>
  <si>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</si>
  <si>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</si>
  <si>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</si>
  <si>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</si>
  <si>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</si>
  <si>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</si>
  <si>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</si>
  <si>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</si>
  <si>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</si>
  <si>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</si>
  <si>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</si>
  <si>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</si>
  <si>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</si>
  <si>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</si>
  <si>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</si>
  <si>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</si>
  <si>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</si>
  <si>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</si>
  <si>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</si>
  <si>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</si>
  <si>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</si>
  <si>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</si>
  <si>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</si>
  <si>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</si>
  <si>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</si>
  <si>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</si>
  <si>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</si>
  <si>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</si>
  <si>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</si>
  <si>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</si>
  <si>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</si>
  <si>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</si>
  <si>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</si>
  <si>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</si>
  <si>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</si>
  <si>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</si>
  <si>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</si>
  <si>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</si>
  <si>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</si>
  <si>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</si>
  <si>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</si>
  <si>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</si>
  <si>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</si>
  <si>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</si>
  <si>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</si>
  <si>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</si>
  <si>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</si>
  <si>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</si>
  <si>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</si>
  <si>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</si>
  <si>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</si>
  <si>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</si>
  <si>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</si>
  <si>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</si>
  <si>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</si>
  <si>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</si>
  <si>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</si>
  <si>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</si>
  <si>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</si>
  <si>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</si>
  <si>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</si>
  <si>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</si>
  <si>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</si>
  <si>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</si>
  <si>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</si>
  <si>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</si>
  <si>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</si>
  <si>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</si>
  <si>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</si>
  <si>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</si>
  <si>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</si>
  <si>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</si>
  <si>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</si>
  <si>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</si>
  <si>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</si>
  <si>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</si>
  <si>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</si>
  <si>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</si>
  <si>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</si>
  <si>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</si>
  <si>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</si>
  <si>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</si>
  <si>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</si>
  <si>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</si>
  <si>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</si>
  <si>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</si>
  <si>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</si>
  <si>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</si>
  <si>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</si>
  <si>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</si>
  <si>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</si>
  <si>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</si>
  <si>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</si>
  <si>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</si>
  <si>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</si>
  <si>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</si>
  <si>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</si>
  <si>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</si>
  <si>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</si>
  <si>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</si>
  <si>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</si>
  <si>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</si>
  <si>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</si>
  <si>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</si>
  <si>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</si>
  <si>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</si>
  <si>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</si>
  <si>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</si>
  <si>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</si>
  <si>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</si>
  <si>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</si>
  <si>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</si>
  <si>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</si>
  <si>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</si>
  <si>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</si>
  <si>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</si>
  <si>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</si>
  <si>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</si>
  <si>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</si>
  <si>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</si>
  <si>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</si>
  <si>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</si>
  <si>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</si>
  <si>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</si>
  <si>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</si>
  <si>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</si>
  <si>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</si>
  <si>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</si>
  <si>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</si>
  <si>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</si>
  <si>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</si>
  <si>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</si>
  <si>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</si>
  <si>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</si>
  <si>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</si>
  <si>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</si>
  <si>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</si>
  <si>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</si>
  <si>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</si>
  <si>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</si>
  <si>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</si>
  <si>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</si>
  <si>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</si>
  <si>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</si>
  <si>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</si>
  <si>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</si>
  <si>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</si>
  <si>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</si>
  <si>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</si>
  <si>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</si>
  <si>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</si>
  <si>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</si>
  <si>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</si>
  <si>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</si>
  <si>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</si>
  <si>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</si>
  <si>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</si>
  <si>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</si>
  <si>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</si>
  <si>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</si>
  <si>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</si>
  <si>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</si>
  <si>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</si>
  <si>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</si>
  <si>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</si>
  <si>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</si>
  <si>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</si>
  <si>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</si>
  <si>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</si>
  <si>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</si>
  <si>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</si>
  <si>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</si>
  <si>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</si>
  <si>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</si>
  <si>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</si>
  <si>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</si>
  <si>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</si>
  <si>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</si>
  <si>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</si>
  <si>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</si>
  <si>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</si>
  <si>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</si>
  <si>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</si>
  <si>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</si>
  <si>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</si>
  <si>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</si>
  <si>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</si>
  <si>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</si>
  <si>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</si>
  <si>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</si>
  <si>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</si>
  <si>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</si>
  <si>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</si>
  <si>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</si>
  <si>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</si>
  <si>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</si>
  <si>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</si>
  <si>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</si>
  <si>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</si>
  <si>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</si>
  <si>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</si>
  <si>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</si>
  <si>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</si>
  <si>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</si>
  <si>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</si>
  <si>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</si>
  <si>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</si>
  <si>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</si>
  <si>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</si>
  <si>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</si>
  <si>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</si>
  <si>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</si>
  <si>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</si>
  <si>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</si>
  <si>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</si>
  <si>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</si>
  <si>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</si>
  <si>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</si>
  <si>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</si>
  <si>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</si>
  <si>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</si>
  <si>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</si>
  <si>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</si>
  <si>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</si>
  <si>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</si>
  <si>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</si>
  <si>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</si>
  <si>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</si>
  <si>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</si>
  <si>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</si>
  <si>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</si>
  <si>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</si>
  <si>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</si>
  <si>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</si>
  <si>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</si>
  <si>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</si>
  <si>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</si>
  <si>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</si>
  <si>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</si>
  <si>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</si>
  <si>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</si>
  <si>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</si>
  <si>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</si>
  <si>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</si>
  <si>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</si>
  <si>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</si>
  <si>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</si>
  <si>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</si>
  <si>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</si>
  <si>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</si>
  <si>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</si>
  <si>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</si>
  <si>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</si>
  <si>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</si>
  <si>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</si>
  <si>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</si>
  <si>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</si>
  <si>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</si>
  <si>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</si>
  <si>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</si>
  <si>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</si>
  <si>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</si>
  <si>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</si>
  <si>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</si>
  <si>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</si>
  <si>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</si>
  <si>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</si>
  <si>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</si>
  <si>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</si>
  <si>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</si>
  <si>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</si>
  <si>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</si>
  <si>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</si>
  <si>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</si>
  <si>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</si>
  <si>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</si>
  <si>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</si>
  <si>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</si>
  <si>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</si>
  <si>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</si>
  <si>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</si>
  <si>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</si>
  <si>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</si>
  <si>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</si>
  <si>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</si>
  <si>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</si>
  <si>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</si>
  <si>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</si>
  <si>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</si>
  <si>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</si>
  <si>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</si>
  <si>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</si>
  <si>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</si>
  <si>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</si>
  <si>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</si>
  <si>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</si>
  <si>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</si>
  <si>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</si>
  <si>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</si>
  <si>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</si>
  <si>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</si>
  <si>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</si>
  <si>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</si>
  <si>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</si>
  <si>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</si>
  <si>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</si>
  <si>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</si>
  <si>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</si>
  <si>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</si>
  <si>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</si>
  <si>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</si>
  <si>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</si>
  <si>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</si>
  <si>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</si>
  <si>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</si>
  <si>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</si>
  <si>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</si>
  <si>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</si>
  <si>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</si>
  <si>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</si>
  <si>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</si>
  <si>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</si>
  <si>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</si>
  <si>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</si>
  <si>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</si>
  <si>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</si>
  <si>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</si>
  <si>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</si>
  <si>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</si>
  <si>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</si>
  <si>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</si>
  <si>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</si>
  <si>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</si>
  <si>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</si>
  <si>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</si>
  <si>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</si>
  <si>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</si>
  <si>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</si>
  <si>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</si>
  <si>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</si>
  <si>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</si>
  <si>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</si>
  <si>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</si>
  <si>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</si>
  <si>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</si>
  <si>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</si>
  <si>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</si>
  <si>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</si>
  <si>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</si>
  <si>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</si>
  <si>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</si>
  <si>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</si>
  <si>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</si>
  <si>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</si>
  <si>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</si>
  <si>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</si>
  <si>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</si>
  <si>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</si>
  <si>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</si>
  <si>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</si>
  <si>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</si>
  <si>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</si>
  <si>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</si>
  <si>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</si>
  <si>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</si>
  <si>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</si>
  <si>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</si>
  <si>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</si>
  <si>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</si>
  <si>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</si>
  <si>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</si>
  <si>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</si>
  <si>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</si>
  <si>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</si>
  <si>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</si>
  <si>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</si>
  <si>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</si>
  <si>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</si>
  <si>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</si>
  <si>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</si>
  <si>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</si>
  <si>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</si>
  <si>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</si>
  <si>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</si>
  <si>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</si>
  <si>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</si>
  <si>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</si>
  <si>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</si>
  <si>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</si>
  <si>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</si>
  <si>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</si>
  <si>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</si>
  <si>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</si>
  <si>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</si>
  <si>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</si>
  <si>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</si>
  <si>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</si>
  <si>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</si>
  <si>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</si>
  <si>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</si>
  <si>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</si>
  <si>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</si>
  <si>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</si>
  <si>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</si>
  <si>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</si>
  <si>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</si>
  <si>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</si>
  <si>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</si>
  <si>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</si>
  <si>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</si>
  <si>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</si>
  <si>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</si>
  <si>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</si>
  <si>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</si>
  <si>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</si>
  <si>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</si>
  <si>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</si>
  <si>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</si>
  <si>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</si>
  <si>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</si>
  <si>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</si>
  <si>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</si>
  <si>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</si>
  <si>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</si>
  <si>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</si>
  <si>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</si>
  <si>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</si>
  <si>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</si>
  <si>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</si>
  <si>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</si>
  <si>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</si>
  <si>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</si>
  <si>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</si>
  <si>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</si>
  <si>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</si>
  <si>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</si>
  <si>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</si>
  <si>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</si>
  <si>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</si>
  <si>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</si>
  <si>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</si>
  <si>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</si>
  <si>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</si>
  <si>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</si>
  <si>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</si>
  <si>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</si>
  <si>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</si>
  <si>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</si>
  <si>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</si>
  <si>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</si>
  <si>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</si>
  <si>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</si>
  <si>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</si>
  <si>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</si>
  <si>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</si>
  <si>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</si>
  <si>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</si>
  <si>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</si>
  <si>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</si>
  <si>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</si>
  <si>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</si>
  <si>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</si>
  <si>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</si>
  <si>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</si>
  <si>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</si>
  <si>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</si>
  <si>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</si>
  <si>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</si>
  <si>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</si>
  <si>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</si>
  <si>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</si>
  <si>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</si>
  <si>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</si>
  <si>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</si>
  <si>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</si>
  <si>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</si>
  <si>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</si>
  <si>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</si>
  <si>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</si>
  <si>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</si>
  <si>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</si>
  <si>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</si>
  <si>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</si>
  <si>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</si>
  <si>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</si>
  <si>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</si>
  <si>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</si>
  <si>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</si>
  <si>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</si>
  <si>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</si>
  <si>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</si>
  <si>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</si>
  <si>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</si>
  <si>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</si>
  <si>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</si>
  <si>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</si>
  <si>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</si>
  <si>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</si>
  <si>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</si>
  <si>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</si>
  <si>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</si>
  <si>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</si>
  <si>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</si>
  <si>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</si>
  <si>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</si>
  <si>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</si>
  <si>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</si>
  <si>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</si>
  <si>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</si>
  <si>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</si>
  <si>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</si>
  <si>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</si>
  <si>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</si>
  <si>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</si>
  <si>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</si>
  <si>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</si>
  <si>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</si>
  <si>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</si>
  <si>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</si>
  <si>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</si>
  <si>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</si>
  <si>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</si>
  <si>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</si>
  <si>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</si>
  <si>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</si>
  <si>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</si>
  <si>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</si>
  <si>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</si>
  <si>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</si>
  <si>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</si>
  <si>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</si>
  <si>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</si>
  <si>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</si>
  <si>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</si>
  <si>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</si>
  <si>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</si>
  <si>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</si>
  <si>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</si>
  <si>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</si>
  <si>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</si>
  <si>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</si>
  <si>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</si>
  <si>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</si>
  <si>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</si>
  <si>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</si>
  <si>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</si>
  <si>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</si>
  <si>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</si>
  <si>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</si>
  <si>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</si>
  <si>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</si>
  <si>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</si>
  <si>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</si>
  <si>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</si>
  <si>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</si>
  <si>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</si>
  <si>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</si>
  <si>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</si>
  <si>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</si>
  <si>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</si>
  <si>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</si>
  <si>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</si>
  <si>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</si>
  <si>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</si>
  <si>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</si>
  <si>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</si>
  <si>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</si>
  <si>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</si>
  <si>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</si>
  <si>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</si>
  <si>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</si>
  <si>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</si>
  <si>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</si>
  <si>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</si>
  <si>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</si>
  <si>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</si>
  <si>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</si>
  <si>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</si>
  <si>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</si>
  <si>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</si>
  <si>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</si>
  <si>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</si>
  <si>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</si>
  <si>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</si>
  <si>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</si>
  <si>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</si>
  <si>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</si>
  <si>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</si>
  <si>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</si>
  <si>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</si>
  <si>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</si>
  <si>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</si>
  <si>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</si>
  <si>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</si>
  <si>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</si>
  <si>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</si>
  <si>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</si>
  <si>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</si>
  <si>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</si>
  <si>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</si>
  <si>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</si>
  <si>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</si>
  <si>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</si>
  <si>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</si>
  <si>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</si>
  <si>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</si>
  <si>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</si>
  <si>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</si>
  <si>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</si>
  <si>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</si>
  <si>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</si>
  <si>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</si>
  <si>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</si>
  <si>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</si>
  <si>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</si>
  <si>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</si>
  <si>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</si>
  <si>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</si>
  <si>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</si>
  <si>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</si>
  <si>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</si>
  <si>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</si>
  <si>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</si>
  <si>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</si>
  <si>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</si>
  <si>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</si>
  <si>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</si>
  <si>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</si>
  <si>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</si>
  <si>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</si>
  <si>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</si>
  <si>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</si>
  <si>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</si>
  <si>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</si>
  <si>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</si>
  <si>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</si>
  <si>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</si>
  <si>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</si>
  <si>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</si>
  <si>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</si>
  <si>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</si>
  <si>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</si>
  <si>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</si>
  <si>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</si>
  <si>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</si>
  <si>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</si>
  <si>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</si>
  <si>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</si>
  <si>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</si>
  <si>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</si>
  <si>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</si>
  <si>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</si>
  <si>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</si>
  <si>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</si>
  <si>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</si>
  <si>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</si>
  <si>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</si>
  <si>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</si>
  <si>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</si>
  <si>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</si>
  <si>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</si>
  <si>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</si>
  <si>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</si>
  <si>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</si>
  <si>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</si>
  <si>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</si>
  <si>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</si>
  <si>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</si>
  <si>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</si>
  <si>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</si>
  <si>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</si>
  <si>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</si>
  <si>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</si>
  <si>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</si>
  <si>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</si>
  <si>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</si>
  <si>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</si>
  <si>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</si>
  <si>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</si>
  <si>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</si>
  <si>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</si>
  <si>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</si>
  <si>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</si>
  <si>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</si>
  <si>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</si>
  <si>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</si>
  <si>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</si>
  <si>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</si>
  <si>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</si>
  <si>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</si>
  <si>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</si>
  <si>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</si>
  <si>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</si>
  <si>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</si>
  <si>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</si>
  <si>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</si>
  <si>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</si>
  <si>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</si>
  <si>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</si>
  <si>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</si>
  <si>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</si>
  <si>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</si>
  <si>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</si>
  <si>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</si>
  <si>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</si>
  <si>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</si>
  <si>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</si>
  <si>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</si>
  <si>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</si>
  <si>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</si>
  <si>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</si>
  <si>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</si>
  <si>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</si>
  <si>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</si>
  <si>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</si>
  <si>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</si>
  <si>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</si>
  <si>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</si>
  <si>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</si>
  <si>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</si>
  <si>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</si>
  <si>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</si>
  <si>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</si>
  <si>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</si>
  <si>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</si>
  <si>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</si>
  <si>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</si>
  <si>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</si>
  <si>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</si>
  <si>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</si>
  <si>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</si>
  <si>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</si>
  <si>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</si>
  <si>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</si>
  <si>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</si>
  <si>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</si>
  <si>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</si>
  <si>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</si>
  <si>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</si>
  <si>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</si>
  <si>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</si>
  <si>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</si>
  <si>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</si>
  <si>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</si>
  <si>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</si>
  <si>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</si>
  <si>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</si>
  <si>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</si>
  <si>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</si>
  <si>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</si>
  <si>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</si>
  <si>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</si>
  <si>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</si>
  <si>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</si>
  <si>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</si>
  <si>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</si>
  <si>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</si>
  <si>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</si>
  <si>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</si>
  <si>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</si>
  <si>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</si>
  <si>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</si>
  <si>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</si>
  <si>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</si>
  <si>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</si>
  <si>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</si>
  <si>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</si>
  <si>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</si>
  <si>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</si>
  <si>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</si>
  <si>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</si>
  <si>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</si>
  <si>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</si>
  <si>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</si>
  <si>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</si>
  <si>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</si>
  <si>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</si>
  <si>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</si>
  <si>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</si>
  <si>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</si>
  <si>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</si>
  <si>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</si>
  <si>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</si>
  <si>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</si>
  <si>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</si>
  <si>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</si>
  <si>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</si>
  <si>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</si>
  <si>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</si>
  <si>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</si>
  <si>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</si>
  <si>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</si>
  <si>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</si>
  <si>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</si>
  <si>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</si>
  <si>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</si>
  <si>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</si>
  <si>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</si>
  <si>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</si>
  <si>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</si>
  <si>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</si>
  <si>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</si>
  <si>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</si>
  <si>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</si>
  <si>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</si>
  <si>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</si>
  <si>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</si>
  <si>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</si>
  <si>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</si>
  <si>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</si>
  <si>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</si>
  <si>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</si>
  <si>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</si>
  <si>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</si>
  <si>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</si>
  <si>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</si>
  <si>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</si>
  <si>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</si>
  <si>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</si>
  <si>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</si>
  <si>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</si>
  <si>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</si>
  <si>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</si>
  <si>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</si>
  <si>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</si>
  <si>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</si>
  <si>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</si>
  <si>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</si>
  <si>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</si>
  <si>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</si>
  <si>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</si>
  <si>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</si>
  <si>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</si>
  <si>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</si>
  <si>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</si>
  <si>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</si>
  <si>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</si>
  <si>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</si>
  <si>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</si>
  <si>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</si>
  <si>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</si>
  <si>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</si>
  <si>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</si>
  <si>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</si>
  <si>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</si>
  <si>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</si>
  <si>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</si>
  <si>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</si>
  <si>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</si>
  <si>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</si>
  <si>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</si>
  <si>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</si>
  <si>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</si>
  <si>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</si>
  <si>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</si>
  <si>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</si>
  <si>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</si>
  <si>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</si>
  <si>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</si>
  <si>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</si>
  <si>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</si>
  <si>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</si>
  <si>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</si>
  <si>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</si>
  <si>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</si>
  <si>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</si>
  <si>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</si>
  <si>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</si>
  <si>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</si>
  <si>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</si>
  <si>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</si>
  <si>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</si>
  <si>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</si>
  <si>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</si>
  <si>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</si>
  <si>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</si>
  <si>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</si>
  <si>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</si>
  <si>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</si>
  <si>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</si>
  <si>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</si>
  <si>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</si>
  <si>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</si>
  <si>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</si>
  <si>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</si>
  <si>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</si>
  <si>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</si>
  <si>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</si>
  <si>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</si>
  <si>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</si>
  <si>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</si>
  <si>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</si>
  <si>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</si>
  <si>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</si>
  <si>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</si>
  <si>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</si>
  <si>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</si>
  <si>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</si>
  <si>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</si>
  <si>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</si>
  <si>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</si>
  <si>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</si>
  <si>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</si>
  <si>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</si>
  <si>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</si>
  <si>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</si>
  <si>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</si>
  <si>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</si>
  <si>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</si>
  <si>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</si>
  <si>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</si>
  <si>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</si>
  <si>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</si>
  <si>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</si>
  <si>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</si>
  <si>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</si>
  <si>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</si>
  <si>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</si>
  <si>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</si>
  <si>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</si>
  <si>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</si>
  <si>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</si>
  <si>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</si>
  <si>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</si>
  <si>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</si>
  <si>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</si>
  <si>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</si>
  <si>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</si>
  <si>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</si>
  <si>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</si>
  <si>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</si>
  <si>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</si>
  <si>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</si>
  <si>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</si>
  <si>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</si>
  <si>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</si>
  <si>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</si>
  <si>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</si>
  <si>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</si>
  <si>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</si>
  <si>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</si>
  <si>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</si>
  <si>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</si>
  <si>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</si>
  <si>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</si>
  <si>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</si>
  <si>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</si>
  <si>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</si>
  <si>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</si>
  <si>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</si>
  <si>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</si>
  <si>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</si>
  <si>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</si>
  <si>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</si>
  <si>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</si>
  <si>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</si>
  <si>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</si>
  <si>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</si>
  <si>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</si>
  <si>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</si>
  <si>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</si>
  <si>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</si>
  <si>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</si>
  <si>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</si>
  <si>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</si>
  <si>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</si>
  <si>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</si>
  <si>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</si>
  <si>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</si>
  <si>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</si>
  <si>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</si>
  <si>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</si>
  <si>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</si>
  <si>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</si>
  <si>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</si>
  <si>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</si>
  <si>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</si>
  <si>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</si>
  <si>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</si>
  <si>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</si>
  <si>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</si>
  <si>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</si>
  <si>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</si>
  <si>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</si>
  <si>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</si>
  <si>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</si>
  <si>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</si>
  <si>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</si>
  <si>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</si>
  <si>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</si>
  <si>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</si>
  <si>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</si>
  <si>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</si>
  <si>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</si>
  <si>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</si>
  <si>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</si>
  <si>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</si>
  <si>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</si>
  <si>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</si>
  <si>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</si>
  <si>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</si>
  <si>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</si>
  <si>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</si>
  <si>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</si>
  <si>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</si>
  <si>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</si>
  <si>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</si>
  <si>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</si>
  <si>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</si>
  <si>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</si>
  <si>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</si>
  <si>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</si>
  <si>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</si>
  <si>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</si>
  <si>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</si>
  <si>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</si>
  <si>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</si>
  <si>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</si>
  <si>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</si>
  <si>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</si>
  <si>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</si>
  <si>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</si>
  <si>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</si>
  <si>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</si>
  <si>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</si>
  <si>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</si>
  <si>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</si>
  <si>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</si>
  <si>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</si>
  <si>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</si>
  <si>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</si>
  <si>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</si>
  <si>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</si>
  <si>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</si>
  <si>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</si>
  <si>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</si>
  <si>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</si>
  <si>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</si>
  <si>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</si>
  <si>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</si>
  <si>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</si>
  <si>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</si>
  <si>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</si>
  <si>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</si>
  <si>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</si>
  <si>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</si>
  <si>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</si>
  <si>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</si>
  <si>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</si>
  <si>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</si>
  <si>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</si>
  <si>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</si>
  <si>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</si>
  <si>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</si>
  <si>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</si>
  <si>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</si>
  <si>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</si>
  <si>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</si>
  <si>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</si>
  <si>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</si>
  <si>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</si>
  <si>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</si>
  <si>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</si>
  <si>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</si>
  <si>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</si>
  <si>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</si>
  <si>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</si>
  <si>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</si>
  <si>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</si>
  <si>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</si>
  <si>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</si>
  <si>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</si>
  <si>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</si>
  <si>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</si>
  <si>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</si>
  <si>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</si>
  <si>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</si>
  <si>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</si>
  <si>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</si>
  <si>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</si>
  <si>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</si>
  <si>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</si>
  <si>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</si>
  <si>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</si>
  <si>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</si>
  <si>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</si>
  <si>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</si>
  <si>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</si>
  <si>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</si>
  <si>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</si>
  <si>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</si>
  <si>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</si>
  <si>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</si>
  <si>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</si>
  <si>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</si>
  <si>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</si>
  <si>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</si>
  <si>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</si>
  <si>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</si>
  <si>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</si>
  <si>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</si>
  <si>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</si>
  <si>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</si>
  <si>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</si>
  <si>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</si>
  <si>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</si>
  <si>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</si>
  <si>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</si>
  <si>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</si>
  <si>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</si>
  <si>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</si>
  <si>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</si>
  <si>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</si>
  <si>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</si>
  <si>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</si>
  <si>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</si>
  <si>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</si>
  <si>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</si>
  <si>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</si>
  <si>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</si>
  <si>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</si>
  <si>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</si>
  <si>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</si>
  <si>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</si>
  <si>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</si>
  <si>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</si>
  <si>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</si>
  <si>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</si>
  <si>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</si>
  <si>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</si>
  <si>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</si>
  <si>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</si>
  <si>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</si>
  <si>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</si>
  <si>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</si>
  <si>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</si>
  <si>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</si>
  <si>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</si>
  <si>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</si>
  <si>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</si>
  <si>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</si>
  <si>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</si>
  <si>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</si>
  <si>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</si>
  <si>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</si>
  <si>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</si>
  <si>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</si>
  <si>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</si>
  <si>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</si>
  <si>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</si>
  <si>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</si>
  <si>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</si>
  <si>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</si>
  <si>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</si>
  <si>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</si>
  <si>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</si>
  <si>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</si>
  <si>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</si>
  <si>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</si>
  <si>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</si>
  <si>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</si>
  <si>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</si>
  <si>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</si>
  <si>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</si>
  <si>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</si>
  <si>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</si>
  <si>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</si>
  <si>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</si>
  <si>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</si>
  <si>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</si>
  <si>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</si>
  <si>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</si>
  <si>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</si>
  <si>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</si>
  <si>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</si>
  <si>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</si>
  <si>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</si>
  <si>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</si>
  <si>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</si>
  <si>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</si>
  <si>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</si>
  <si>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</si>
  <si>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</si>
  <si>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</si>
  <si>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</si>
  <si>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</si>
  <si>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</si>
  <si>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</si>
  <si>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</si>
  <si>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</si>
  <si>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</si>
  <si>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</si>
  <si>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</si>
  <si>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</si>
  <si>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</si>
  <si>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</si>
  <si>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</si>
  <si>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</si>
  <si>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</si>
  <si>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</si>
  <si>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</si>
  <si>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</si>
  <si>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</si>
  <si>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</si>
  <si>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</si>
  <si>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</si>
  <si>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</si>
  <si>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</si>
  <si>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</si>
  <si>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</si>
  <si>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</si>
  <si>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</si>
  <si>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</si>
  <si>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</si>
  <si>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</si>
  <si>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</si>
  <si>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</si>
  <si>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</si>
  <si>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</si>
  <si>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</si>
  <si>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</si>
  <si>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</si>
  <si>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</si>
  <si>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</si>
  <si>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</si>
  <si>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</si>
  <si>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</si>
  <si>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</si>
  <si>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</si>
  <si>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</si>
  <si>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</si>
  <si>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</si>
  <si>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</si>
  <si>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</si>
  <si>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</si>
  <si>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</si>
  <si>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</si>
  <si>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</si>
  <si>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</si>
  <si>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</si>
  <si>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</si>
  <si>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</si>
  <si>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</si>
  <si>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</si>
  <si>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</si>
  <si>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</si>
  <si>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</si>
  <si>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</si>
  <si>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</si>
  <si>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</si>
  <si>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</si>
  <si>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</si>
  <si>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</si>
  <si>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</si>
  <si>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</si>
  <si>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</si>
  <si>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</si>
  <si>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</si>
  <si>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</si>
  <si>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</si>
  <si>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</si>
  <si>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</si>
  <si>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</si>
  <si>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</si>
  <si>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</si>
  <si>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</si>
  <si>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</si>
  <si>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</si>
  <si>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</si>
  <si>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</si>
  <si>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</si>
  <si>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</si>
  <si>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</si>
  <si>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</si>
  <si>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</si>
  <si>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</si>
  <si>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</si>
  <si>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</si>
  <si>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</si>
  <si>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</si>
  <si>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</si>
  <si>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</si>
  <si>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</si>
  <si>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</si>
  <si>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</si>
  <si>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</si>
  <si>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</si>
  <si>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</si>
  <si>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</si>
  <si>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</si>
  <si>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</si>
  <si>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</si>
  <si>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</si>
  <si>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</si>
  <si>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</si>
  <si>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</si>
  <si>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</si>
  <si>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</si>
  <si>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</si>
  <si>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</si>
  <si>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</si>
  <si>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</si>
  <si>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</si>
  <si>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</si>
  <si>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</si>
  <si>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</si>
  <si>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</si>
  <si>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</si>
  <si>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</si>
  <si>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</si>
  <si>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</si>
  <si>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</si>
  <si>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</si>
  <si>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</si>
  <si>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</si>
  <si>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</si>
  <si>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</si>
  <si>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</si>
  <si>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</si>
  <si>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</si>
  <si>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</si>
  <si>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</si>
  <si>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</si>
  <si>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</si>
  <si>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</si>
  <si>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</si>
  <si>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</si>
  <si>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</si>
  <si>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</si>
  <si>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</si>
  <si>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</si>
  <si>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</si>
  <si>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</si>
  <si>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</si>
  <si>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</si>
  <si>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</si>
  <si>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</si>
  <si>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</si>
  <si>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</si>
  <si>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</si>
  <si>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</si>
  <si>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</si>
  <si>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</si>
  <si>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</si>
  <si>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</si>
  <si>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</si>
  <si>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</si>
  <si>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</si>
  <si>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</si>
  <si>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</si>
  <si>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</si>
  <si>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</si>
  <si>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</si>
  <si>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</si>
  <si>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</si>
  <si>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</si>
  <si>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</si>
  <si>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</si>
  <si>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</si>
  <si>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</si>
  <si>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</si>
  <si>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</si>
  <si>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</si>
  <si>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</si>
  <si>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</si>
  <si>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</si>
  <si>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</si>
  <si>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</si>
  <si>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</si>
  <si>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</si>
  <si>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</si>
  <si>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</si>
  <si>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</si>
  <si>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</si>
  <si>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</si>
  <si>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</si>
  <si>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</si>
  <si>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</si>
  <si>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</si>
  <si>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</si>
  <si>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</si>
  <si>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</si>
  <si>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</si>
  <si>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</si>
  <si>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</si>
  <si>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</si>
  <si>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</si>
  <si>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</si>
  <si>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</si>
  <si>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</si>
  <si>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</si>
  <si>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</si>
  <si>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</si>
  <si>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</si>
  <si>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</si>
  <si>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</si>
  <si>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</si>
  <si>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</si>
  <si>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</si>
  <si>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</si>
  <si>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</si>
  <si>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</si>
  <si>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</si>
  <si>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</si>
  <si>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</si>
  <si>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</si>
  <si>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</si>
  <si>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</si>
  <si>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</si>
  <si>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</si>
  <si>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</si>
  <si>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</si>
  <si>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</si>
  <si>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</si>
  <si>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</si>
  <si>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</si>
  <si>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</si>
  <si>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</si>
  <si>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</si>
  <si>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</si>
  <si>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</si>
  <si>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</si>
  <si>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</si>
  <si>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</si>
  <si>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</si>
  <si>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</si>
  <si>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</si>
  <si>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</si>
  <si>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</si>
  <si>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</si>
  <si>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</si>
  <si>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</si>
  <si>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</si>
  <si>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</si>
  <si>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</si>
  <si>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</si>
  <si>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</si>
  <si>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</si>
  <si>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</si>
  <si>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</si>
  <si>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</si>
  <si>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</si>
  <si>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</si>
  <si>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</si>
  <si>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</si>
  <si>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</si>
  <si>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</si>
  <si>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</si>
  <si>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</si>
  <si>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</si>
  <si>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</si>
  <si>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</si>
  <si>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</si>
  <si>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</si>
  <si>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</si>
  <si>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</si>
  <si>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</si>
  <si>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</si>
  <si>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</si>
  <si>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</si>
  <si>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</si>
  <si>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</si>
  <si>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</si>
  <si>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</si>
  <si>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</si>
  <si>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</si>
  <si>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</si>
  <si>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</si>
  <si>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</si>
  <si>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</si>
  <si>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</si>
  <si>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</si>
  <si>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</si>
  <si>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</si>
  <si>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</si>
  <si>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</si>
  <si>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</si>
  <si>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</si>
  <si>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</si>
  <si>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</si>
  <si>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</si>
  <si>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</si>
  <si>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</si>
  <si>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</si>
  <si>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</si>
  <si>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</si>
  <si>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</si>
  <si>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</si>
  <si>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</si>
  <si>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</si>
  <si>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</si>
  <si>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</si>
  <si>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</si>
  <si>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</si>
  <si>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</si>
  <si>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</si>
  <si>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</si>
  <si>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</si>
  <si>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</si>
  <si>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</si>
  <si>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</si>
  <si>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</si>
  <si>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</si>
  <si>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</si>
  <si>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</si>
  <si>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</si>
  <si>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</si>
  <si>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</si>
  <si>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</si>
  <si>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</si>
  <si>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</si>
  <si>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</si>
  <si>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</si>
  <si>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</si>
  <si>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</si>
  <si>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</si>
  <si>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</si>
  <si>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</si>
  <si>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</si>
  <si>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</si>
  <si>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</si>
  <si>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</si>
  <si>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</si>
  <si>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</si>
  <si>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</si>
  <si>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</si>
  <si>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</si>
  <si>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</si>
  <si>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</si>
  <si>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</si>
  <si>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</si>
  <si>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</si>
  <si>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</si>
  <si>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</si>
  <si>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</si>
  <si>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</si>
  <si>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</si>
  <si>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</si>
  <si>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</si>
  <si>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</si>
  <si>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</si>
  <si>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</si>
  <si>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</si>
  <si>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</si>
  <si>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</si>
  <si>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</si>
  <si>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</si>
  <si>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</si>
  <si>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</si>
  <si>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</si>
  <si>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</si>
  <si>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</si>
  <si>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</si>
  <si>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</si>
  <si>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</si>
  <si>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</si>
  <si>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</si>
  <si>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</si>
  <si>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</si>
  <si>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</si>
  <si>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</si>
  <si>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</si>
  <si>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</si>
  <si>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</si>
  <si>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</si>
  <si>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</si>
  <si>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</si>
  <si>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</si>
  <si>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</si>
  <si>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</si>
  <si>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</si>
  <si>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</si>
  <si>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</si>
  <si>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</si>
  <si>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</si>
  <si>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</si>
  <si>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</si>
  <si>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</si>
  <si>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</si>
  <si>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</si>
  <si>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</si>
  <si>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</si>
  <si>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</si>
  <si>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</si>
  <si>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</si>
  <si>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</si>
  <si>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</si>
  <si>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</si>
  <si>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</si>
  <si>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</si>
  <si>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</si>
  <si>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</si>
  <si>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</si>
  <si>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</si>
  <si>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</si>
  <si>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</si>
  <si>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</si>
  <si>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</si>
  <si>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</si>
  <si>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</si>
  <si>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</si>
  <si>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</si>
  <si>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</si>
  <si>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</si>
  <si>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</si>
  <si>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</si>
  <si>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</si>
  <si>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</si>
  <si>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</si>
  <si>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</si>
  <si>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</si>
  <si>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</si>
  <si>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</si>
  <si>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</si>
  <si>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</si>
  <si>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</si>
  <si>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</si>
  <si>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</si>
  <si>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</si>
  <si>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</si>
  <si>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</si>
  <si>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</si>
  <si>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</si>
  <si>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</si>
  <si>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</si>
  <si>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</si>
  <si>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</si>
  <si>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</si>
  <si>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</si>
  <si>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</si>
  <si>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</si>
  <si>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</si>
  <si>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</si>
  <si>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</si>
  <si>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</si>
  <si>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</si>
  <si>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</si>
  <si>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</si>
  <si>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</si>
  <si>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</si>
  <si>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</si>
  <si>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</si>
  <si>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</si>
  <si>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</si>
  <si>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</si>
  <si>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</si>
  <si>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</si>
  <si>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</si>
  <si>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</si>
  <si>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</si>
  <si>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</si>
  <si>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</si>
  <si>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</si>
  <si>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</si>
  <si>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</si>
  <si>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</si>
  <si>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</si>
  <si>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</si>
  <si>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</si>
  <si>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</si>
  <si>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</si>
  <si>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</si>
  <si>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</si>
  <si>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</si>
  <si>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</si>
  <si>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</si>
  <si>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</si>
  <si>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</si>
  <si>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</si>
  <si>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</si>
  <si>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</si>
  <si>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</si>
  <si>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</si>
  <si>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</si>
  <si>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</si>
  <si>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</si>
  <si>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</si>
  <si>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</si>
  <si>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</si>
  <si>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</si>
  <si>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</si>
  <si>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</si>
  <si>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</si>
  <si>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</si>
  <si>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</si>
  <si>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</si>
  <si>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</si>
  <si>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</si>
  <si>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</si>
  <si>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</si>
  <si>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</si>
  <si>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</si>
  <si>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</si>
  <si>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</si>
  <si>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</si>
  <si>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</si>
  <si>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</si>
  <si>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</si>
  <si>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</si>
  <si>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</si>
  <si>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</si>
  <si>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</si>
  <si>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</si>
  <si>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</si>
  <si>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</si>
  <si>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</si>
  <si>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</si>
  <si>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</si>
  <si>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</si>
  <si>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</si>
  <si>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</si>
  <si>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</si>
  <si>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</si>
  <si>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</si>
  <si>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</si>
  <si>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</si>
  <si>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</si>
  <si>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</si>
  <si>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</si>
  <si>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</si>
  <si>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</si>
  <si>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</si>
  <si>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</si>
  <si>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</si>
  <si>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</si>
  <si>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</si>
  <si>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</si>
  <si>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</si>
  <si>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</si>
  <si>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</si>
  <si>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</si>
  <si>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</si>
  <si>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</si>
  <si>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</si>
  <si>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</si>
  <si>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</si>
  <si>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</si>
  <si>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</si>
  <si>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</si>
  <si>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</si>
  <si>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</si>
  <si>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</si>
  <si>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</si>
  <si>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</si>
  <si>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</si>
  <si>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</si>
  <si>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</si>
  <si>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</si>
  <si>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</si>
  <si>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</si>
  <si>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</si>
  <si>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</si>
  <si>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</si>
  <si>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</si>
  <si>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</si>
  <si>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</si>
  <si>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</si>
  <si>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</si>
  <si>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</si>
  <si>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</si>
  <si>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</si>
  <si>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</si>
  <si>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</si>
  <si>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</si>
  <si>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</si>
  <si>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</si>
  <si>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</si>
  <si>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</si>
  <si>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</si>
  <si>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</si>
  <si>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</si>
  <si>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</si>
  <si>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</si>
  <si>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</si>
  <si>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</si>
  <si>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</si>
  <si>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</si>
  <si>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</si>
  <si>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</si>
  <si>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</si>
  <si>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</si>
  <si>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</si>
  <si>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</si>
  <si>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</si>
  <si>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</si>
  <si>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</si>
  <si>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</si>
  <si>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</si>
  <si>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</si>
  <si>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</si>
  <si>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</si>
  <si>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</si>
  <si>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</si>
  <si>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</si>
  <si>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</si>
  <si>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</si>
  <si>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</si>
  <si>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</si>
  <si>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</si>
  <si>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</si>
  <si>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</si>
  <si>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</si>
  <si>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</si>
  <si>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</si>
  <si>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</si>
  <si>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</si>
  <si>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</si>
  <si>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</si>
  <si>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</si>
  <si>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</si>
  <si>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</si>
  <si>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</si>
  <si>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</si>
  <si>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</si>
  <si>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</si>
  <si>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</si>
  <si>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</si>
  <si>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</si>
  <si>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</si>
  <si>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</si>
  <si>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</si>
  <si>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</si>
  <si>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</si>
  <si>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</si>
  <si>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</si>
  <si>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</si>
  <si>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</si>
  <si>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</si>
  <si>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</si>
  <si>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</si>
  <si>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</si>
  <si>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</si>
  <si>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</si>
  <si>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</si>
  <si>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</si>
  <si>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</si>
  <si>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</si>
  <si>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</si>
  <si>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</si>
  <si>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</si>
  <si>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</si>
  <si>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</si>
  <si>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</si>
  <si>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</si>
  <si>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</si>
  <si>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</si>
  <si>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</si>
  <si>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</si>
  <si>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</si>
  <si>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</si>
  <si>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</si>
  <si>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</si>
  <si>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</si>
  <si>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</si>
  <si>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</si>
  <si>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</si>
  <si>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</si>
  <si>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</si>
  <si>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</si>
  <si>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</si>
  <si>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</si>
  <si>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</si>
  <si>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</si>
  <si>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</si>
  <si>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</si>
  <si>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</si>
  <si>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</si>
  <si>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</si>
  <si>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</si>
  <si>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</si>
  <si>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</si>
  <si>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</si>
  <si>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</si>
  <si>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</si>
  <si>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</si>
  <si>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</si>
  <si>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</si>
  <si>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</si>
  <si>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</si>
  <si>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</si>
  <si>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</si>
  <si>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</si>
  <si>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</si>
  <si>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</si>
  <si>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</si>
  <si>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</si>
  <si>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</si>
  <si>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</si>
  <si>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</si>
  <si>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</si>
  <si>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</si>
  <si>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</si>
  <si>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</si>
  <si>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</si>
  <si>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</si>
  <si>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</si>
  <si>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</si>
  <si>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</si>
  <si>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</si>
  <si>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</si>
  <si>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</si>
  <si>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</si>
  <si>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</si>
  <si>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</si>
  <si>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</si>
  <si>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</si>
  <si>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</si>
  <si>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</si>
  <si>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</si>
  <si>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</si>
  <si>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</si>
  <si>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</si>
  <si>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</si>
  <si>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</si>
  <si>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</si>
  <si>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</si>
  <si>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</si>
  <si>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</si>
  <si>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</si>
  <si>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</si>
  <si>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</si>
  <si>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</si>
  <si>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</si>
  <si>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</si>
  <si>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</si>
  <si>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</si>
  <si>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</si>
  <si>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</si>
  <si>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</si>
  <si>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</si>
  <si>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</si>
  <si>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</si>
  <si>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</si>
  <si>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</si>
  <si>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</si>
  <si>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</si>
  <si>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</si>
  <si>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</si>
  <si>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</si>
  <si>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</si>
  <si>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</si>
  <si>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</si>
  <si>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</si>
  <si>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</si>
  <si>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</si>
  <si>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</si>
  <si>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</si>
  <si>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</si>
  <si>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</si>
  <si>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</si>
  <si>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</si>
  <si>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</si>
  <si>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</si>
  <si>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</si>
  <si>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</si>
  <si>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</si>
  <si>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</si>
  <si>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</si>
  <si>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</si>
  <si>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</si>
  <si>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</si>
  <si>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</si>
  <si>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</si>
  <si>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</si>
  <si>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</si>
  <si>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</si>
  <si>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</si>
  <si>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</si>
  <si>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</si>
  <si>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</si>
  <si>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</si>
  <si>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</si>
  <si>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</si>
  <si>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</si>
  <si>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</si>
  <si>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</si>
  <si>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</si>
  <si>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</si>
  <si>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</si>
  <si>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</si>
  <si>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</si>
  <si>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</si>
  <si>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</si>
  <si>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</si>
  <si>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</si>
  <si>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</si>
  <si>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</si>
  <si>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</si>
  <si>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</si>
  <si>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</si>
  <si>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</si>
  <si>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</si>
  <si>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</si>
  <si>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</si>
  <si>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</si>
  <si>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</si>
  <si>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</si>
  <si>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</si>
  <si>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</si>
  <si>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</si>
  <si>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</si>
  <si>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</si>
  <si>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</si>
  <si>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</si>
  <si>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</si>
  <si>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</si>
  <si>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</si>
  <si>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</si>
  <si>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</si>
  <si>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</si>
  <si>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</si>
  <si>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</si>
  <si>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136 River Apartments</t>
  </si>
  <si>
    <t>City of Santa Cruz</t>
  </si>
  <si>
    <t>Mr. Matt Huffaker</t>
  </si>
  <si>
    <t xml:space="preserve">136 River Street </t>
  </si>
  <si>
    <t>40%/60%</t>
  </si>
  <si>
    <t>Inner City Infill Site</t>
  </si>
  <si>
    <t>1,970 square feet of ground floor commercial space</t>
  </si>
  <si>
    <t xml:space="preserve">Community Commercial </t>
  </si>
  <si>
    <t>Boston Financial</t>
  </si>
  <si>
    <t>Banc of CA Tax Exempt</t>
  </si>
  <si>
    <t>Banc of CA Taxable</t>
  </si>
  <si>
    <t>City Santa Cruz</t>
  </si>
  <si>
    <t>City Santa Cruz Loan</t>
  </si>
  <si>
    <t>Banc of CA Perm</t>
  </si>
  <si>
    <t>Project-based vouchers (PBVs)</t>
  </si>
  <si>
    <t>Santa Cruz Housing Authority</t>
  </si>
  <si>
    <t xml:space="preserve">Pacific Housing, Inc. </t>
  </si>
  <si>
    <t>1 bedroom</t>
  </si>
  <si>
    <t>2 bedroom</t>
  </si>
  <si>
    <t>3 bedroom</t>
  </si>
  <si>
    <t>809 Center Street</t>
  </si>
  <si>
    <t>(831)420-5010</t>
  </si>
  <si>
    <t>(831)420-5011</t>
  </si>
  <si>
    <t>mhuffaker@santacruzca.gov</t>
  </si>
  <si>
    <t>008-311-07 and 008-311-06 (will be merged)</t>
  </si>
  <si>
    <t xml:space="preserve">433 Marsh St. </t>
  </si>
  <si>
    <t>CA</t>
  </si>
  <si>
    <t>Jim Rendler</t>
  </si>
  <si>
    <t>(408)891-8303</t>
  </si>
  <si>
    <t>jrendler@ftfhousing.com</t>
  </si>
  <si>
    <t>136 River Partners, LLC</t>
  </si>
  <si>
    <t>PacH Lancaster Holdings, LLC</t>
  </si>
  <si>
    <t>Managing GP</t>
  </si>
  <si>
    <t>2115 J Street, Suite 201</t>
  </si>
  <si>
    <t>Mark Wiese</t>
  </si>
  <si>
    <t>(916)638-5200</t>
  </si>
  <si>
    <t>mwiese@pacifichousing.com</t>
  </si>
  <si>
    <t>433 Marsh St.</t>
  </si>
  <si>
    <t>Developer &amp; General Partner</t>
  </si>
  <si>
    <t>San Luis Obispo, CA 93401</t>
  </si>
  <si>
    <t>Cox Castle Nicholson</t>
  </si>
  <si>
    <t>50 California Street Suite 3200</t>
  </si>
  <si>
    <t>San Francisco, CA 94111</t>
  </si>
  <si>
    <t>Ofer Elitzur</t>
  </si>
  <si>
    <t>(415)262-5165</t>
  </si>
  <si>
    <t>oelitzur@coxcastle.com</t>
  </si>
  <si>
    <t>Novogradac &amp; Co LLP</t>
  </si>
  <si>
    <t>1160 Battery St, East Bldg. 4th Fl</t>
  </si>
  <si>
    <t>Melissa Chung</t>
  </si>
  <si>
    <t>Echelcon, Inc.</t>
  </si>
  <si>
    <t>945 W. Julian St.</t>
  </si>
  <si>
    <t>San Jose, CA 95126</t>
  </si>
  <si>
    <t>Robert Putnam</t>
  </si>
  <si>
    <t>(408)591-1807</t>
  </si>
  <si>
    <t>putnam@echelcon.com</t>
  </si>
  <si>
    <t>Ten Over Studio</t>
  </si>
  <si>
    <t>539 Marsh St.</t>
  </si>
  <si>
    <t>Joel Synder</t>
  </si>
  <si>
    <t>joels@tenoverstudio.com</t>
  </si>
  <si>
    <t>101 Arch Street</t>
  </si>
  <si>
    <t>Boston, MA 02110</t>
  </si>
  <si>
    <t>Sam Guagliano</t>
  </si>
  <si>
    <t>(617)488-3526</t>
  </si>
  <si>
    <t>sam.guagliano@bfim.com</t>
  </si>
  <si>
    <t>Kinetic Valuation Group</t>
  </si>
  <si>
    <t>3901 S. 147th Street, Ste. 144</t>
  </si>
  <si>
    <t>Omaha, NE 68144</t>
  </si>
  <si>
    <t>Jay Wortmann</t>
  </si>
  <si>
    <t>California Municipal Finance Authority</t>
  </si>
  <si>
    <t>2111 Palomar Airport Rd., Ste 320</t>
  </si>
  <si>
    <t>Carlsbad, CA 92011</t>
  </si>
  <si>
    <t>Anthony Stubbs</t>
  </si>
  <si>
    <t>760-930-1333</t>
  </si>
  <si>
    <t>760-683-3390</t>
  </si>
  <si>
    <t>astubbs@cmfa-ca.com</t>
  </si>
  <si>
    <t>FPI Management, Inc.</t>
  </si>
  <si>
    <t>800 Iron Point Road</t>
  </si>
  <si>
    <t>Folsom, CA 95630</t>
  </si>
  <si>
    <t>Curtis Tumbaga</t>
  </si>
  <si>
    <t>(916)850-4457</t>
  </si>
  <si>
    <t>curtis.tumbaga@fpimgt.com</t>
  </si>
  <si>
    <t>(415)356-7906</t>
  </si>
  <si>
    <t>melissa.chung@novoco.com</t>
  </si>
  <si>
    <t>(402) 202-0771</t>
  </si>
  <si>
    <t>jay@kvgteam.com</t>
  </si>
  <si>
    <t>136 River Partners,LLC</t>
  </si>
  <si>
    <t>Manager</t>
  </si>
  <si>
    <t>433 Marsh St. San Luis Obispo, CA 93401</t>
  </si>
  <si>
    <t>Fixed</t>
  </si>
  <si>
    <t xml:space="preserve">101 Arch Street </t>
  </si>
  <si>
    <t>Equity</t>
  </si>
  <si>
    <t xml:space="preserve">1001 Marsh St. </t>
  </si>
  <si>
    <t>Nate Roddick</t>
  </si>
  <si>
    <t>(805)548-8210</t>
  </si>
  <si>
    <t>Construction Loan</t>
  </si>
  <si>
    <t>Costs Deferred to Perm</t>
  </si>
  <si>
    <t>Deferred Costs</t>
  </si>
  <si>
    <t>Deferred Fee</t>
  </si>
  <si>
    <t xml:space="preserve">337 Locust St. </t>
  </si>
  <si>
    <t>Santa Cruz, CA 95060</t>
  </si>
  <si>
    <t>(831)420-5108</t>
  </si>
  <si>
    <t>Residual Loan</t>
  </si>
  <si>
    <t>Jessica de Wit</t>
  </si>
  <si>
    <t>Perm Loan</t>
  </si>
  <si>
    <t>Santa Cruz County Housing Authority</t>
  </si>
  <si>
    <t>City Santa Cruz, Project Based Vouchers</t>
  </si>
  <si>
    <t>Benefits</t>
  </si>
  <si>
    <t>City Santa Cruz Loan &amp; PBV Commitment</t>
  </si>
  <si>
    <t xml:space="preserve">Pacific Housing </t>
  </si>
  <si>
    <t>Administrative GP</t>
  </si>
  <si>
    <t>Provided</t>
  </si>
  <si>
    <t>Not Applicable</t>
  </si>
  <si>
    <t>136 River Apartments Investors, L.P., a to be formed Limited Partnership</t>
  </si>
  <si>
    <t>Above residual receipts line for cash flow</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</si>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</sst>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64" fontId="35" fillId="5" borderId="3"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49"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8"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8"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2"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2"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2" customHeight="1">
      <c r="A40" s="4"/>
      <c r="B40"/>
      <c r="C40" s="2"/>
      <c r="D40" s="4"/>
      <c r="E40" s="4" t="s">
        <v>654</v>
      </c>
      <c r="F40" s="1260" t="s">
        <v>1165</v>
      </c>
    </row>
    <row r="41" spans="1:38" s="1260" customFormat="1" ht="13.2"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2"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2"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2"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45" sqref="G45"/>
    </sheetView>
  </sheetViews>
  <sheetFormatPr defaultColWidth="9.109375" defaultRowHeight="13.8"/>
  <cols>
    <col min="1" max="1" width="2.44140625" style="1044" customWidth="1"/>
    <col min="2" max="9" width="14.6640625" style="1044" customWidth="1"/>
    <col min="10" max="10" width="2.33203125" style="1044" customWidth="1"/>
    <col min="11" max="11" width="11.88671875" style="1045" customWidth="1"/>
    <col min="12" max="12" width="10.664062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67" t="s">
        <v>1586</v>
      </c>
      <c r="B1" s="2667"/>
      <c r="C1" s="2667"/>
      <c r="D1" s="2667"/>
      <c r="E1" s="2667"/>
      <c r="F1" s="2667"/>
      <c r="G1" s="2667"/>
      <c r="H1" s="2667"/>
      <c r="I1" s="2667"/>
      <c r="J1" s="2667"/>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29227363.999999996</v>
      </c>
      <c r="I3" s="1105"/>
    </row>
    <row r="4" spans="1:13" s="1051" customFormat="1" ht="20.100000000000001" customHeight="1">
      <c r="B4" s="1094"/>
      <c r="D4" s="1108"/>
      <c r="F4" s="1092" t="s">
        <v>1993</v>
      </c>
      <c r="G4" s="1091" t="s">
        <v>1992</v>
      </c>
      <c r="H4" s="1093">
        <f>I18</f>
        <v>24909998.458741829</v>
      </c>
      <c r="I4" s="1095"/>
      <c r="K4" s="1055"/>
    </row>
    <row r="5" spans="1:13" s="1051" customFormat="1" ht="20.100000000000001" customHeight="1" thickBot="1">
      <c r="B5" s="1096"/>
      <c r="C5" s="1097"/>
      <c r="D5" s="1109"/>
      <c r="E5" s="1098"/>
      <c r="F5" s="1109" t="s">
        <v>1943</v>
      </c>
      <c r="G5" s="1110"/>
      <c r="H5" s="1106">
        <f>IFERROR(H3/H4,0)</f>
        <v>1.1733185792206682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1941</v>
      </c>
      <c r="C8" s="2671"/>
      <c r="D8" s="2671"/>
      <c r="E8" s="2672"/>
      <c r="G8" s="2647" t="s">
        <v>1942</v>
      </c>
      <c r="H8" s="2648"/>
      <c r="I8" s="2649"/>
      <c r="K8" s="1057"/>
    </row>
    <row r="9" spans="1:13" ht="15" customHeight="1">
      <c r="A9" s="1046"/>
      <c r="B9" s="2668" t="s">
        <v>1975</v>
      </c>
      <c r="C9" s="2668"/>
      <c r="D9" s="2668"/>
      <c r="E9" s="1059">
        <f>G33</f>
        <v>2950000</v>
      </c>
      <c r="G9" s="2660" t="s">
        <v>1973</v>
      </c>
      <c r="H9" s="2660"/>
      <c r="I9" s="1060">
        <f>SUMIF(Application!M554:M565,"Loan, Tax-Exempt",Application!AM554:AM565)</f>
        <v>22655819</v>
      </c>
      <c r="K9" s="1061"/>
      <c r="M9" s="1062"/>
    </row>
    <row r="10" spans="1:13" ht="15" customHeight="1" thickBot="1">
      <c r="A10" s="1046"/>
      <c r="B10" s="2668" t="s">
        <v>1976</v>
      </c>
      <c r="C10" s="2668"/>
      <c r="D10" s="2668"/>
      <c r="E10" s="1060">
        <f>G47</f>
        <v>19940363.999999996</v>
      </c>
      <c r="G10" s="2674" t="s">
        <v>1944</v>
      </c>
      <c r="H10" s="2674"/>
      <c r="I10" s="1140">
        <f>'Basis &amp; Credits'!AB78</f>
        <v>9999036</v>
      </c>
      <c r="M10" s="1062"/>
    </row>
    <row r="11" spans="1:13" ht="15" customHeight="1">
      <c r="A11" s="1046"/>
      <c r="B11" s="2661" t="s">
        <v>2265</v>
      </c>
      <c r="C11" s="2662"/>
      <c r="D11" s="2663"/>
      <c r="E11" s="1060">
        <f>SUM(E12,E13)</f>
        <v>260000</v>
      </c>
      <c r="G11" s="2659" t="s">
        <v>1984</v>
      </c>
      <c r="H11" s="2659"/>
      <c r="I11" s="1139">
        <f>I9+I10</f>
        <v>32654855</v>
      </c>
      <c r="M11" s="1062"/>
    </row>
    <row r="12" spans="1:13" ht="15" customHeight="1">
      <c r="A12" s="1063"/>
      <c r="B12" s="2669" t="s">
        <v>2267</v>
      </c>
      <c r="C12" s="2669"/>
      <c r="D12" s="2669"/>
      <c r="E12" s="1165">
        <f>G56</f>
        <v>0</v>
      </c>
      <c r="M12" s="1062"/>
    </row>
    <row r="13" spans="1:13" ht="15" customHeight="1">
      <c r="A13" s="1049"/>
      <c r="B13" s="2669" t="s">
        <v>2268</v>
      </c>
      <c r="C13" s="2669"/>
      <c r="D13" s="2669"/>
      <c r="E13" s="1165">
        <f>G65</f>
        <v>260000</v>
      </c>
      <c r="G13" s="2647" t="s">
        <v>2007</v>
      </c>
      <c r="H13" s="2648"/>
      <c r="I13" s="2649"/>
      <c r="M13" s="1062"/>
    </row>
    <row r="14" spans="1:13" ht="15" customHeight="1">
      <c r="A14" s="1049"/>
      <c r="B14" s="2661" t="s">
        <v>2266</v>
      </c>
      <c r="C14" s="2662"/>
      <c r="D14" s="2663"/>
      <c r="E14" s="1167">
        <f>MAX(E15,E16)+E17</f>
        <v>6077000</v>
      </c>
      <c r="G14" s="2660" t="s">
        <v>139</v>
      </c>
      <c r="H14" s="2660"/>
      <c r="I14" s="1064">
        <f>15%*(AND(G120="Yes",G122&lt;&gt;""))</f>
        <v>0.15</v>
      </c>
      <c r="M14" s="1062"/>
    </row>
    <row r="15" spans="1:13" ht="15" customHeight="1">
      <c r="A15" s="1049"/>
      <c r="B15" s="2644" t="s">
        <v>2272</v>
      </c>
      <c r="C15" s="2645"/>
      <c r="D15" s="2646"/>
      <c r="E15" s="1165">
        <f>G80</f>
        <v>1770000</v>
      </c>
      <c r="G15" s="1137" t="s">
        <v>1985</v>
      </c>
      <c r="H15" s="1137"/>
      <c r="I15" s="1064">
        <f>IF(Application!AJ1032&gt;0,10%,IF(Application!AJ1036&gt;0,5%,0))</f>
        <v>0.05</v>
      </c>
      <c r="M15" s="1062"/>
    </row>
    <row r="16" spans="1:13" ht="15" customHeight="1">
      <c r="A16" s="1049"/>
      <c r="B16" s="2644" t="s">
        <v>2271</v>
      </c>
      <c r="C16" s="2645"/>
      <c r="D16" s="2646"/>
      <c r="E16" s="1165">
        <f>G90</f>
        <v>0</v>
      </c>
      <c r="G16" s="2660" t="s">
        <v>1986</v>
      </c>
      <c r="H16" s="2660"/>
      <c r="I16" s="1064">
        <f>G132</f>
        <v>3.7173202614379085E-2</v>
      </c>
    </row>
    <row r="17" spans="1:21" ht="15" customHeight="1" thickBot="1">
      <c r="A17" s="1049"/>
      <c r="B17" s="2644" t="s">
        <v>2270</v>
      </c>
      <c r="C17" s="2645"/>
      <c r="D17" s="2646"/>
      <c r="E17" s="1165">
        <f>G115</f>
        <v>4307000</v>
      </c>
      <c r="G17" s="2660" t="s">
        <v>2280</v>
      </c>
      <c r="H17" s="2660"/>
      <c r="I17" s="1064">
        <f>IF(AND(G139="Yes",OR(G136,G137)),IF(G143&gt;15%,15%,G143),0)</f>
        <v>0</v>
      </c>
    </row>
    <row r="18" spans="1:21" ht="15" customHeight="1">
      <c r="A18" s="1046"/>
      <c r="B18" s="2673" t="s">
        <v>1940</v>
      </c>
      <c r="C18" s="2673"/>
      <c r="D18" s="2673"/>
      <c r="E18" s="1111">
        <f>SUM(E9:E11,E14)</f>
        <v>29227363.999999996</v>
      </c>
      <c r="G18" s="1138" t="s">
        <v>1974</v>
      </c>
      <c r="H18" s="1138"/>
      <c r="I18" s="1112">
        <f>I11-((I11*I14)+(I11*I15)+(I11*I16)+(I11*I17))</f>
        <v>24909998.458741829</v>
      </c>
      <c r="M18" s="1065">
        <f>SUM(Cdlac[Quantity])</f>
        <v>49</v>
      </c>
      <c r="O18" s="1084" t="s">
        <v>583</v>
      </c>
      <c r="P18" s="1044">
        <f>MATCH(Application!T189,Application!CB160:CB217,0)</f>
        <v>44</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v>
      </c>
      <c r="N20" s="1071">
        <f>Application!AC718</f>
        <v>0.6</v>
      </c>
      <c r="O20" s="1071">
        <f>IF(Cdlac[[#This Row],[Quantity]]&gt;0,IF(Cdlac[[#This Row],[Federal]],30%,IF(AND(OR(NOT($G$38),$G$38=""),$G$43),40%,Cdlac[[#This Row],[iAMI]])),"")</f>
        <v>0.6</v>
      </c>
      <c r="P20" s="1065" cm="1">
        <f t="array" ref="P20">IF(Cdlac[[#This Row],[Quantity]]&gt;0,INDEX(TcacRents,$P$18,Cdlac[[#This Row],[Bedrooms]]+1)*Cdlac[[#This Row],[AMI]],"")</f>
        <v>2224.7999999999997</v>
      </c>
      <c r="Q20" s="1164"/>
      <c r="R20" s="1065" cm="1">
        <f t="array" ref="R20">IF(Cdlac[[#This Row],[Quantity]]&gt;0,INDEX(HudFmrs,$P$18,Cdlac[[#This Row],[Bedrooms]]+1),"")</f>
        <v>3221</v>
      </c>
      <c r="S20" s="1065">
        <f>IF(Cdlac[[#This Row],[Quantity]]&gt;0,MAX(0,Cdlac[[#This Row],[Fair Market Rent]]-IF(AND($G$37,$G$38,$G$38&lt;&gt;"",NOT(Cdlac[[#This Row],[Federal]]),Cdlac[[#This Row],[Preservation Rent]]&lt;&gt;""),Cdlac[[#This Row],[Preservation Rent]],Cdlac[[#This Row],[Restricted Rent]])),"")</f>
        <v>996.20000000000027</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5</v>
      </c>
      <c r="N21" s="1071">
        <f>Application!AC719</f>
        <v>0.5</v>
      </c>
      <c r="O21" s="1071">
        <f>IF(Cdlac[[#This Row],[Quantity]]&gt;0,IF(Cdlac[[#This Row],[Federal]],30%,IF(AND(OR(NOT($G$38),$G$38=""),$G$43),40%,Cdlac[[#This Row],[iAMI]])),"")</f>
        <v>0.5</v>
      </c>
      <c r="P21" s="1065" cm="1">
        <f t="array" ref="P21">IF(Cdlac[[#This Row],[Quantity]]&gt;0,INDEX(TcacRents,$P$18,Cdlac[[#This Row],[Bedrooms]]+1)*Cdlac[[#This Row],[AMI]],"")</f>
        <v>1854</v>
      </c>
      <c r="Q21" s="1164"/>
      <c r="R21" s="1065" cm="1">
        <f t="array" ref="R21">IF(Cdlac[[#This Row],[Quantity]]&gt;0,INDEX(HudFmrs,$P$18,Cdlac[[#This Row],[Bedrooms]]+1),"")</f>
        <v>3221</v>
      </c>
      <c r="S21" s="1065">
        <f>IF(Cdlac[[#This Row],[Quantity]]&gt;0,MAX(0,Cdlac[[#This Row],[Fair Market Rent]]-IF(AND($G$37,$G$38,$G$38&lt;&gt;"",NOT(Cdlac[[#This Row],[Federal]]),Cdlac[[#This Row],[Preservation Rent]]&lt;&gt;""),Cdlac[[#This Row],[Preservation Rent]],Cdlac[[#This Row],[Restricted Rent]])),"")</f>
        <v>1367</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1988</v>
      </c>
      <c r="D22" s="2651" t="s">
        <v>1989</v>
      </c>
      <c r="E22" s="2651" t="s">
        <v>1990</v>
      </c>
      <c r="F22" s="2651" t="s">
        <v>2611</v>
      </c>
      <c r="G22" s="2651" t="s">
        <v>1987</v>
      </c>
      <c r="H22" s="1070"/>
      <c r="I22" s="1069"/>
      <c r="L22" s="1044">
        <f>IFERROR(MIN(4,MATCH(Application!B720,UnitSizes,0)-1),"")</f>
        <v>1</v>
      </c>
      <c r="M22" s="1065">
        <f>Application!G720</f>
        <v>2</v>
      </c>
      <c r="N22" s="1071">
        <f>Application!AC720</f>
        <v>0.4</v>
      </c>
      <c r="O22" s="1071">
        <f>IF(Cdlac[[#This Row],[Quantity]]&gt;0,IF(Cdlac[[#This Row],[Federal]],30%,IF(AND(OR(NOT($G$38),$G$38=""),$G$43),40%,Cdlac[[#This Row],[iAMI]])),"")</f>
        <v>0.4</v>
      </c>
      <c r="P22" s="1065" cm="1">
        <f t="array" ref="P22">IF(Cdlac[[#This Row],[Quantity]]&gt;0,INDEX(TcacRents,$P$18,Cdlac[[#This Row],[Bedrooms]]+1)*Cdlac[[#This Row],[AMI]],"")</f>
        <v>1483.2</v>
      </c>
      <c r="Q22" s="1164"/>
      <c r="R22" s="1065" cm="1">
        <f t="array" ref="R22">IF(Cdlac[[#This Row],[Quantity]]&gt;0,INDEX(HudFmrs,$P$18,Cdlac[[#This Row],[Bedrooms]]+1),"")</f>
        <v>3221</v>
      </c>
      <c r="S22" s="1065">
        <f>IF(Cdlac[[#This Row],[Quantity]]&gt;0,MAX(0,Cdlac[[#This Row],[Fair Market Rent]]-IF(AND($G$37,$G$38,$G$38&lt;&gt;"",NOT(Cdlac[[#This Row],[Federal]]),Cdlac[[#This Row],[Preservation Rent]]&lt;&gt;""),Cdlac[[#This Row],[Preservation Rent]],Cdlac[[#This Row],[Restricted Rent]])),"")</f>
        <v>1737.8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1</v>
      </c>
      <c r="M23" s="1065">
        <f>Application!G721</f>
        <v>1</v>
      </c>
      <c r="N23" s="1071">
        <f>Application!AC721</f>
        <v>0.3</v>
      </c>
      <c r="O23" s="1071">
        <f>IF(Cdlac[[#This Row],[Quantity]]&gt;0,IF(Cdlac[[#This Row],[Federal]],30%,IF(AND(OR(NOT($G$38),$G$38=""),$G$43),40%,Cdlac[[#This Row],[iAMI]])),"")</f>
        <v>0.3</v>
      </c>
      <c r="P23" s="1065" cm="1">
        <f t="array" ref="P23">IF(Cdlac[[#This Row],[Quantity]]&gt;0,INDEX(TcacRents,$P$18,Cdlac[[#This Row],[Bedrooms]]+1)*Cdlac[[#This Row],[AMI]],"")</f>
        <v>1112.3999999999999</v>
      </c>
      <c r="Q23" s="1164"/>
      <c r="R23" s="1065" cm="1">
        <f t="array" ref="R23">IF(Cdlac[[#This Row],[Quantity]]&gt;0,INDEX(HudFmrs,$P$18,Cdlac[[#This Row],[Bedrooms]]+1),"")</f>
        <v>3221</v>
      </c>
      <c r="S23" s="1065">
        <f>IF(Cdlac[[#This Row],[Quantity]]&gt;0,MAX(0,Cdlac[[#This Row],[Fair Market Rent]]-IF(AND($G$37,$G$38,$G$38&lt;&gt;"",NOT(Cdlac[[#This Row],[Federal]]),Cdlac[[#This Row],[Preservation Rent]]&lt;&gt;""),Cdlac[[#This Row],[Preservation Rent]],Cdlac[[#This Row],[Restricted Rent]])),"")</f>
        <v>2108.6000000000004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0.6</v>
      </c>
      <c r="O24" s="1071">
        <f>IF(Cdlac[[#This Row],[Quantity]]&gt;0,IF(Cdlac[[#This Row],[Federal]],30%,IF(AND(OR(NOT($G$38),$G$38=""),$G$43),40%,Cdlac[[#This Row],[iAMI]])),"")</f>
        <v>0.6</v>
      </c>
      <c r="P24" s="1065" cm="1">
        <f t="array" ref="P24">IF(Cdlac[[#This Row],[Quantity]]&gt;0,INDEX(TcacRents,$P$18,Cdlac[[#This Row],[Bedrooms]]+1)*Cdlac[[#This Row],[AMI]],"")</f>
        <v>2670</v>
      </c>
      <c r="Q24" s="1164"/>
      <c r="R24" s="1065" cm="1">
        <f t="array" ref="R24">IF(Cdlac[[#This Row],[Quantity]]&gt;0,INDEX(HudFmrs,$P$18,Cdlac[[#This Row],[Bedrooms]]+1),"")</f>
        <v>4223</v>
      </c>
      <c r="S24" s="1065">
        <f>IF(Cdlac[[#This Row],[Quantity]]&gt;0,MAX(0,Cdlac[[#This Row],[Fair Market Rent]]-IF(AND($G$37,$G$38,$G$38&lt;&gt;"",NOT(Cdlac[[#This Row],[Federal]]),Cdlac[[#This Row],[Preservation Rent]]&lt;&gt;""),Cdlac[[#This Row],[Preservation Rent]],Cdlac[[#This Row],[Restricted Rent]])),"")</f>
        <v>1553</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22</v>
      </c>
      <c r="F25" s="1072">
        <f>E25</f>
        <v>22</v>
      </c>
      <c r="G25" s="1072">
        <f>D25*F25</f>
        <v>22</v>
      </c>
      <c r="L25" s="1044">
        <f>IFERROR(MIN(4,MATCH(Application!B723,UnitSizes,0)-1),"")</f>
        <v>2</v>
      </c>
      <c r="M25" s="1065">
        <f>Application!G723</f>
        <v>4</v>
      </c>
      <c r="N25" s="1071">
        <f>Application!AC723</f>
        <v>0.5</v>
      </c>
      <c r="O25" s="1071">
        <f>IF(Cdlac[[#This Row],[Quantity]]&gt;0,IF(Cdlac[[#This Row],[Federal]],30%,IF(AND(OR(NOT($G$38),$G$38=""),$G$43),40%,Cdlac[[#This Row],[iAMI]])),"")</f>
        <v>0.5</v>
      </c>
      <c r="P25" s="1065" cm="1">
        <f t="array" ref="P25">IF(Cdlac[[#This Row],[Quantity]]&gt;0,INDEX(TcacRents,$P$18,Cdlac[[#This Row],[Bedrooms]]+1)*Cdlac[[#This Row],[AMI]],"")</f>
        <v>2225</v>
      </c>
      <c r="Q25" s="1164"/>
      <c r="R25" s="1065" cm="1">
        <f t="array" ref="R25">IF(Cdlac[[#This Row],[Quantity]]&gt;0,INDEX(HudFmrs,$P$18,Cdlac[[#This Row],[Bedrooms]]+1),"")</f>
        <v>4223</v>
      </c>
      <c r="S25" s="1065">
        <f>IF(Cdlac[[#This Row],[Quantity]]&gt;0,MAX(0,Cdlac[[#This Row],[Fair Market Rent]]-IF(AND($G$37,$G$38,$G$38&lt;&gt;"",NOT(Cdlac[[#This Row],[Federal]]),Cdlac[[#This Row],[Preservation Rent]]&lt;&gt;""),Cdlac[[#This Row],[Preservation Rent]],Cdlac[[#This Row],[Restricted Rent]])),"")</f>
        <v>1998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14</v>
      </c>
      <c r="F26" s="1075">
        <f>SUM(E26:E28)-SUM(F27:F28)</f>
        <v>14</v>
      </c>
      <c r="G26" s="1072">
        <f>D26*F26</f>
        <v>17.5</v>
      </c>
      <c r="H26" s="1074"/>
      <c r="I26" s="1074"/>
      <c r="L26" s="1044">
        <f>IFERROR(MIN(4,MATCH(Application!B724,UnitSizes,0)-1),"")</f>
        <v>2</v>
      </c>
      <c r="M26" s="1065">
        <f>Application!G724</f>
        <v>1</v>
      </c>
      <c r="N26" s="1071">
        <f>Application!AC724</f>
        <v>0.4</v>
      </c>
      <c r="O26" s="1071">
        <f>IF(Cdlac[[#This Row],[Quantity]]&gt;0,IF(Cdlac[[#This Row],[Federal]],30%,IF(AND(OR(NOT($G$38),$G$38=""),$G$43),40%,Cdlac[[#This Row],[iAMI]])),"")</f>
        <v>0.4</v>
      </c>
      <c r="P26" s="1065" cm="1">
        <f t="array" ref="P26">IF(Cdlac[[#This Row],[Quantity]]&gt;0,INDEX(TcacRents,$P$18,Cdlac[[#This Row],[Bedrooms]]+1)*Cdlac[[#This Row],[AMI]],"")</f>
        <v>1780</v>
      </c>
      <c r="Q26" s="1164"/>
      <c r="R26" s="1065" cm="1">
        <f t="array" ref="R26">IF(Cdlac[[#This Row],[Quantity]]&gt;0,INDEX(HudFmrs,$P$18,Cdlac[[#This Row],[Bedrooms]]+1),"")</f>
        <v>4223</v>
      </c>
      <c r="S26" s="1065">
        <f>IF(Cdlac[[#This Row],[Quantity]]&gt;0,MAX(0,Cdlac[[#This Row],[Fair Market Rent]]-IF(AND($G$37,$G$38,$G$38&lt;&gt;"",NOT(Cdlac[[#This Row],[Federal]]),Cdlac[[#This Row],[Preservation Rent]]&lt;&gt;""),Cdlac[[#This Row],[Preservation Rent]],Cdlac[[#This Row],[Restricted Rent]])),"")</f>
        <v>2443</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13</v>
      </c>
      <c r="F27" s="1075">
        <f>MIN(E27,ROUNDDOWN(E29*30%,0))</f>
        <v>13</v>
      </c>
      <c r="G27" s="1072">
        <f>D27*F27</f>
        <v>19.5</v>
      </c>
      <c r="H27" s="1074"/>
      <c r="I27" s="1074"/>
      <c r="L27" s="1044">
        <f>IFERROR(MIN(4,MATCH(Application!B725,UnitSizes,0)-1),"")</f>
        <v>2</v>
      </c>
      <c r="M27" s="1065">
        <f>Application!G725</f>
        <v>1</v>
      </c>
      <c r="N27" s="1071">
        <f>Application!AC725</f>
        <v>0.3</v>
      </c>
      <c r="O27" s="1071">
        <f>IF(Cdlac[[#This Row],[Quantity]]&gt;0,IF(Cdlac[[#This Row],[Federal]],30%,IF(AND(OR(NOT($G$38),$G$38=""),$G$43),40%,Cdlac[[#This Row],[iAMI]])),"")</f>
        <v>0.3</v>
      </c>
      <c r="P27" s="1065" cm="1">
        <f t="array" ref="P27">IF(Cdlac[[#This Row],[Quantity]]&gt;0,INDEX(TcacRents,$P$18,Cdlac[[#This Row],[Bedrooms]]+1)*Cdlac[[#This Row],[AMI]],"")</f>
        <v>1335</v>
      </c>
      <c r="Q27" s="1164"/>
      <c r="R27" s="1065" cm="1">
        <f t="array" ref="R27">IF(Cdlac[[#This Row],[Quantity]]&gt;0,INDEX(HudFmrs,$P$18,Cdlac[[#This Row],[Bedrooms]]+1),"")</f>
        <v>4223</v>
      </c>
      <c r="S27" s="1065">
        <f>IF(Cdlac[[#This Row],[Quantity]]&gt;0,MAX(0,Cdlac[[#This Row],[Fair Market Rent]]-IF(AND($G$37,$G$38,$G$38&lt;&gt;"",NOT(Cdlac[[#This Row],[Federal]]),Cdlac[[#This Row],[Preservation Rent]]&lt;&gt;""),Cdlac[[#This Row],[Preservation Rent]],Cdlac[[#This Row],[Restricted Rent]])),"")</f>
        <v>2888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0.6</v>
      </c>
      <c r="O28" s="1071">
        <f>IF(Cdlac[[#This Row],[Quantity]]&gt;0,IF(Cdlac[[#This Row],[Federal]],30%,IF(AND(OR(NOT($G$38),$G$38=""),$G$43),40%,Cdlac[[#This Row],[iAMI]])),"")</f>
        <v>0.6</v>
      </c>
      <c r="P28" s="1065" cm="1">
        <f t="array" ref="P28">IF(Cdlac[[#This Row],[Quantity]]&gt;0,INDEX(TcacRents,$P$18,Cdlac[[#This Row],[Bedrooms]]+1)*Cdlac[[#This Row],[AMI]],"")</f>
        <v>3085.2</v>
      </c>
      <c r="Q28" s="1164"/>
      <c r="R28" s="1065" cm="1">
        <f t="array" ref="R28">IF(Cdlac[[#This Row],[Quantity]]&gt;0,INDEX(HudFmrs,$P$18,Cdlac[[#This Row],[Bedrooms]]+1),"")</f>
        <v>5256</v>
      </c>
      <c r="S28" s="1065">
        <f>IF(Cdlac[[#This Row],[Quantity]]&gt;0,MAX(0,Cdlac[[#This Row],[Fair Market Rent]]-IF(AND($G$37,$G$38,$G$38&lt;&gt;"",NOT(Cdlac[[#This Row],[Federal]]),Cdlac[[#This Row],[Preservation Rent]]&lt;&gt;""),Cdlac[[#This Row],[Preservation Rent]],Cdlac[[#This Row],[Restricted Rent]])),"")</f>
        <v>2170.8000000000002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3" t="s">
        <v>1587</v>
      </c>
      <c r="D29" s="2654"/>
      <c r="E29" s="1089">
        <f>SUM(E24:E28)</f>
        <v>49</v>
      </c>
      <c r="F29" s="1089">
        <f>SUM(F24:F28)</f>
        <v>49</v>
      </c>
      <c r="G29" s="1090">
        <f>SUMPRODUCT(D24:D28,F24:F28)</f>
        <v>59</v>
      </c>
      <c r="H29" s="1074"/>
      <c r="I29" s="1074"/>
      <c r="L29" s="1044">
        <f>IFERROR(MIN(4,MATCH(Application!B727,UnitSizes,0)-1),"")</f>
        <v>3</v>
      </c>
      <c r="M29" s="1065">
        <f>Application!G727</f>
        <v>5</v>
      </c>
      <c r="N29" s="1071">
        <f>Application!AC727</f>
        <v>0.5</v>
      </c>
      <c r="O29" s="1071">
        <f>IF(Cdlac[[#This Row],[Quantity]]&gt;0,IF(Cdlac[[#This Row],[Federal]],30%,IF(AND(OR(NOT($G$38),$G$38=""),$G$43),40%,Cdlac[[#This Row],[iAMI]])),"")</f>
        <v>0.5</v>
      </c>
      <c r="P29" s="1065" cm="1">
        <f t="array" ref="P29">IF(Cdlac[[#This Row],[Quantity]]&gt;0,INDEX(TcacRents,$P$18,Cdlac[[#This Row],[Bedrooms]]+1)*Cdlac[[#This Row],[AMI]],"")</f>
        <v>2571</v>
      </c>
      <c r="Q29" s="1164"/>
      <c r="R29" s="1065" cm="1">
        <f t="array" ref="R29">IF(Cdlac[[#This Row],[Quantity]]&gt;0,INDEX(HudFmrs,$P$18,Cdlac[[#This Row],[Bedrooms]]+1),"")</f>
        <v>5256</v>
      </c>
      <c r="S29" s="1065">
        <f>IF(Cdlac[[#This Row],[Quantity]]&gt;0,MAX(0,Cdlac[[#This Row],[Fair Market Rent]]-IF(AND($G$37,$G$38,$G$38&lt;&gt;"",NOT(Cdlac[[#This Row],[Federal]]),Cdlac[[#This Row],[Preservation Rent]]&lt;&gt;""),Cdlac[[#This Row],[Preservation Rent]],Cdlac[[#This Row],[Restricted Rent]])),"")</f>
        <v>2685</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1</v>
      </c>
      <c r="N30" s="1071">
        <f>Application!AC728</f>
        <v>0.4</v>
      </c>
      <c r="O30" s="1071">
        <f>IF(Cdlac[[#This Row],[Quantity]]&gt;0,IF(Cdlac[[#This Row],[Federal]],30%,IF(AND(OR(NOT($G$38),$G$38=""),$G$43),40%,Cdlac[[#This Row],[iAMI]])),"")</f>
        <v>0.4</v>
      </c>
      <c r="P30" s="1065" cm="1">
        <f t="array" ref="P30">IF(Cdlac[[#This Row],[Quantity]]&gt;0,INDEX(TcacRents,$P$18,Cdlac[[#This Row],[Bedrooms]]+1)*Cdlac[[#This Row],[AMI]],"")</f>
        <v>2056.8000000000002</v>
      </c>
      <c r="Q30" s="1164"/>
      <c r="R30" s="1065" cm="1">
        <f t="array" ref="R30">IF(Cdlac[[#This Row],[Quantity]]&gt;0,INDEX(HudFmrs,$P$18,Cdlac[[#This Row],[Bedrooms]]+1),"")</f>
        <v>5256</v>
      </c>
      <c r="S30" s="1065">
        <f>IF(Cdlac[[#This Row],[Quantity]]&gt;0,MAX(0,Cdlac[[#This Row],[Fair Market Rent]]-IF(AND($G$37,$G$38,$G$38&lt;&gt;"",NOT(Cdlac[[#This Row],[Federal]]),Cdlac[[#This Row],[Preservation Rent]]&lt;&gt;""),Cdlac[[#This Row],[Preservation Rent]],Cdlac[[#This Row],[Restricted Rent]])),"")</f>
        <v>3199.2</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59</v>
      </c>
      <c r="H31" s="1074"/>
      <c r="I31" s="1074"/>
      <c r="L31" s="1044">
        <f>IFERROR(MIN(4,MATCH(Application!B729,UnitSizes,0)-1),"")</f>
        <v>3</v>
      </c>
      <c r="M31" s="1065">
        <f>Application!G729</f>
        <v>1</v>
      </c>
      <c r="N31" s="1071">
        <f>Application!AC729</f>
        <v>0.3</v>
      </c>
      <c r="O31" s="1071">
        <f>IF(Cdlac[[#This Row],[Quantity]]&gt;0,IF(Cdlac[[#This Row],[Federal]],30%,IF(AND(OR(NOT($G$38),$G$38=""),$G$43),40%,Cdlac[[#This Row],[iAMI]])),"")</f>
        <v>0.3</v>
      </c>
      <c r="P31" s="1065" cm="1">
        <f t="array" ref="P31">IF(Cdlac[[#This Row],[Quantity]]&gt;0,INDEX(TcacRents,$P$18,Cdlac[[#This Row],[Bedrooms]]+1)*Cdlac[[#This Row],[AMI]],"")</f>
        <v>1542.6</v>
      </c>
      <c r="Q31" s="1164"/>
      <c r="R31" s="1065" cm="1">
        <f t="array" ref="R31">IF(Cdlac[[#This Row],[Quantity]]&gt;0,INDEX(HudFmrs,$P$18,Cdlac[[#This Row],[Bedrooms]]+1),"")</f>
        <v>5256</v>
      </c>
      <c r="S31" s="1065">
        <f>IF(Cdlac[[#This Row],[Quantity]]&gt;0,MAX(0,Cdlac[[#This Row],[Fair Market Rent]]-IF(AND($G$37,$G$38,$G$38&lt;&gt;"",NOT(Cdlac[[#This Row],[Federal]]),Cdlac[[#This Row],[Preservation Rent]]&lt;&gt;""),Cdlac[[#This Row],[Preservation Rent]],Cdlac[[#This Row],[Restricted Rent]])),"")</f>
        <v>3713.4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f>IFERROR(MIN(4,MATCH(Application!B730,UnitSizes,0)-1),"")</f>
        <v>1</v>
      </c>
      <c r="M32" s="1065">
        <f>Application!G730</f>
        <v>1</v>
      </c>
      <c r="N32" s="1071">
        <f>Application!AC730</f>
        <v>0.5</v>
      </c>
      <c r="O32" s="1071">
        <f>IF(Cdlac[[#This Row],[Quantity]]&gt;0,IF(Cdlac[[#This Row],[Federal]],30%,IF(AND(OR(NOT($G$38),$G$38=""),$G$43),40%,Cdlac[[#This Row],[iAMI]])),"")</f>
        <v>0.3</v>
      </c>
      <c r="P32" s="1065" cm="1">
        <f t="array" ref="P32">IF(Cdlac[[#This Row],[Quantity]]&gt;0,INDEX(TcacRents,$P$18,Cdlac[[#This Row],[Bedrooms]]+1)*Cdlac[[#This Row],[AMI]],"")</f>
        <v>1112.3999999999999</v>
      </c>
      <c r="Q32" s="1164"/>
      <c r="R32" s="1065" cm="1">
        <f t="array" ref="R32">IF(Cdlac[[#This Row],[Quantity]]&gt;0,INDEX(HudFmrs,$P$18,Cdlac[[#This Row],[Bedrooms]]+1),"")</f>
        <v>3221</v>
      </c>
      <c r="S32" s="1065">
        <f>IF(Cdlac[[#This Row],[Quantity]]&gt;0,MAX(0,Cdlac[[#This Row],[Fair Market Rent]]-IF(AND($G$37,$G$38,$G$38&lt;&gt;"",NOT(Cdlac[[#This Row],[Federal]]),Cdlac[[#This Row],[Preservation Rent]]&lt;&gt;""),Cdlac[[#This Row],[Preservation Rent]],Cdlac[[#This Row],[Restricted Rent]])),"")</f>
        <v>2108.6000000000004</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1</v>
      </c>
    </row>
    <row r="33" spans="1:21" ht="15" customHeight="1">
      <c r="A33" s="1074"/>
      <c r="E33" s="1118" t="s">
        <v>1980</v>
      </c>
      <c r="F33" s="1046"/>
      <c r="G33" s="1119">
        <f>G32*G31</f>
        <v>2950000</v>
      </c>
      <c r="H33" s="1074"/>
      <c r="I33" s="1074"/>
      <c r="L33" s="1044">
        <f>IFERROR(MIN(4,MATCH(Application!B731,UnitSizes,0)-1),"")</f>
        <v>1</v>
      </c>
      <c r="M33" s="1065">
        <f>Application!G731</f>
        <v>4</v>
      </c>
      <c r="N33" s="1071">
        <f>Application!AC731</f>
        <v>0.4</v>
      </c>
      <c r="O33" s="1071">
        <f>IF(Cdlac[[#This Row],[Quantity]]&gt;0,IF(Cdlac[[#This Row],[Federal]],30%,IF(AND(OR(NOT($G$38),$G$38=""),$G$43),40%,Cdlac[[#This Row],[iAMI]])),"")</f>
        <v>0.3</v>
      </c>
      <c r="P33" s="1065" cm="1">
        <f t="array" ref="P33">IF(Cdlac[[#This Row],[Quantity]]&gt;0,INDEX(TcacRents,$P$18,Cdlac[[#This Row],[Bedrooms]]+1)*Cdlac[[#This Row],[AMI]],"")</f>
        <v>1112.3999999999999</v>
      </c>
      <c r="Q33" s="1164"/>
      <c r="R33" s="1065" cm="1">
        <f t="array" ref="R33">IF(Cdlac[[#This Row],[Quantity]]&gt;0,INDEX(HudFmrs,$P$18,Cdlac[[#This Row],[Bedrooms]]+1),"")</f>
        <v>3221</v>
      </c>
      <c r="S33" s="1065">
        <f>IF(Cdlac[[#This Row],[Quantity]]&gt;0,MAX(0,Cdlac[[#This Row],[Fair Market Rent]]-IF(AND($G$37,$G$38,$G$38&lt;&gt;"",NOT(Cdlac[[#This Row],[Federal]]),Cdlac[[#This Row],[Preservation Rent]]&lt;&gt;""),Cdlac[[#This Row],[Preservation Rent]],Cdlac[[#This Row],[Restricted Rent]])),"")</f>
        <v>2108.6000000000004</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1</v>
      </c>
    </row>
    <row r="34" spans="1:21" ht="15" customHeight="1">
      <c r="A34" s="1074"/>
      <c r="B34" s="1074"/>
      <c r="C34" s="1074"/>
      <c r="D34" s="1074"/>
      <c r="E34" s="1074"/>
      <c r="F34" s="1074"/>
      <c r="G34" s="1074"/>
      <c r="H34" s="1074"/>
      <c r="I34" s="1074"/>
      <c r="L34" s="1044">
        <f>IFERROR(MIN(4,MATCH(Application!B732,UnitSizes,0)-1),"")</f>
        <v>1</v>
      </c>
      <c r="M34" s="1065">
        <f>Application!G732</f>
        <v>5</v>
      </c>
      <c r="N34" s="1071">
        <f>Application!AC732</f>
        <v>0.3</v>
      </c>
      <c r="O34" s="1071">
        <f>IF(Cdlac[[#This Row],[Quantity]]&gt;0,IF(Cdlac[[#This Row],[Federal]],30%,IF(AND(OR(NOT($G$38),$G$38=""),$G$43),40%,Cdlac[[#This Row],[iAMI]])),"")</f>
        <v>0.3</v>
      </c>
      <c r="P34" s="1065" cm="1">
        <f t="array" ref="P34">IF(Cdlac[[#This Row],[Quantity]]&gt;0,INDEX(TcacRents,$P$18,Cdlac[[#This Row],[Bedrooms]]+1)*Cdlac[[#This Row],[AMI]],"")</f>
        <v>1112.3999999999999</v>
      </c>
      <c r="Q34" s="1164"/>
      <c r="R34" s="1065" cm="1">
        <f t="array" ref="R34">IF(Cdlac[[#This Row],[Quantity]]&gt;0,INDEX(HudFmrs,$P$18,Cdlac[[#This Row],[Bedrooms]]+1),"")</f>
        <v>3221</v>
      </c>
      <c r="S34" s="1065">
        <f>IF(Cdlac[[#This Row],[Quantity]]&gt;0,MAX(0,Cdlac[[#This Row],[Fair Market Rent]]-IF(AND($G$37,$G$38,$G$38&lt;&gt;"",NOT(Cdlac[[#This Row],[Federal]]),Cdlac[[#This Row],[Preservation Rent]]&lt;&gt;""),Cdlac[[#This Row],[Preservation Rent]],Cdlac[[#This Row],[Restricted Rent]])),"")</f>
        <v>2108.6000000000004</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1</v>
      </c>
    </row>
    <row r="35" spans="1:21" ht="15" customHeight="1">
      <c r="B35" s="1066" t="str">
        <f>B10</f>
        <v>B. Rent Savings Benefit</v>
      </c>
      <c r="C35" s="1067"/>
      <c r="D35" s="1067"/>
      <c r="E35" s="1067"/>
      <c r="F35" s="1067"/>
      <c r="G35" s="1067"/>
      <c r="H35" s="1067"/>
      <c r="I35" s="1068"/>
      <c r="L35" s="1044">
        <f>IFERROR(MIN(4,MATCH(Application!B733,UnitSizes,0)-1),"")</f>
        <v>2</v>
      </c>
      <c r="M35" s="1065">
        <f>Application!G733</f>
        <v>1</v>
      </c>
      <c r="N35" s="1071">
        <f>Application!AC733</f>
        <v>0.5</v>
      </c>
      <c r="O35" s="1071">
        <f>IF(Cdlac[[#This Row],[Quantity]]&gt;0,IF(Cdlac[[#This Row],[Federal]],30%,IF(AND(OR(NOT($G$38),$G$38=""),$G$43),40%,Cdlac[[#This Row],[iAMI]])),"")</f>
        <v>0.3</v>
      </c>
      <c r="P35" s="1065" cm="1">
        <f t="array" ref="P35">IF(Cdlac[[#This Row],[Quantity]]&gt;0,INDEX(TcacRents,$P$18,Cdlac[[#This Row],[Bedrooms]]+1)*Cdlac[[#This Row],[AMI]],"")</f>
        <v>1335</v>
      </c>
      <c r="Q35" s="1164"/>
      <c r="R35" s="1065" cm="1">
        <f t="array" ref="R35">IF(Cdlac[[#This Row],[Quantity]]&gt;0,INDEX(HudFmrs,$P$18,Cdlac[[#This Row],[Bedrooms]]+1),"")</f>
        <v>4223</v>
      </c>
      <c r="S35" s="1065">
        <f>IF(Cdlac[[#This Row],[Quantity]]&gt;0,MAX(0,Cdlac[[#This Row],[Fair Market Rent]]-IF(AND($G$37,$G$38,$G$38&lt;&gt;"",NOT(Cdlac[[#This Row],[Federal]]),Cdlac[[#This Row],[Preservation Rent]]&lt;&gt;""),Cdlac[[#This Row],[Preservation Rent]],Cdlac[[#This Row],[Restricted Rent]])),"")</f>
        <v>2888</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1</v>
      </c>
    </row>
    <row r="36" spans="1:21" ht="15" customHeight="1">
      <c r="L36" s="1044">
        <f>IFERROR(MIN(4,MATCH(Application!B734,UnitSizes,0)-1),"")</f>
        <v>2</v>
      </c>
      <c r="M36" s="1065">
        <f>Application!G734</f>
        <v>2</v>
      </c>
      <c r="N36" s="1071">
        <f>Application!AC734</f>
        <v>0.4</v>
      </c>
      <c r="O36" s="1071">
        <f>IF(Cdlac[[#This Row],[Quantity]]&gt;0,IF(Cdlac[[#This Row],[Federal]],30%,IF(AND(OR(NOT($G$38),$G$38=""),$G$43),40%,Cdlac[[#This Row],[iAMI]])),"")</f>
        <v>0.3</v>
      </c>
      <c r="P36" s="1065" cm="1">
        <f t="array" ref="P36">IF(Cdlac[[#This Row],[Quantity]]&gt;0,INDEX(TcacRents,$P$18,Cdlac[[#This Row],[Bedrooms]]+1)*Cdlac[[#This Row],[AMI]],"")</f>
        <v>1335</v>
      </c>
      <c r="Q36" s="1164"/>
      <c r="R36" s="1065" cm="1">
        <f t="array" ref="R36">IF(Cdlac[[#This Row],[Quantity]]&gt;0,INDEX(HudFmrs,$P$18,Cdlac[[#This Row],[Bedrooms]]+1),"")</f>
        <v>4223</v>
      </c>
      <c r="S36" s="1065">
        <f>IF(Cdlac[[#This Row],[Quantity]]&gt;0,MAX(0,Cdlac[[#This Row],[Fair Market Rent]]-IF(AND($G$37,$G$38,$G$38&lt;&gt;"",NOT(Cdlac[[#This Row],[Federal]]),Cdlac[[#This Row],[Preservation Rent]]&lt;&gt;""),Cdlac[[#This Row],[Preservation Rent]],Cdlac[[#This Row],[Restricted Rent]])),"")</f>
        <v>2888</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1</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f>IFERROR(MIN(4,MATCH(Application!B735,UnitSizes,0)-1),"")</f>
        <v>2</v>
      </c>
      <c r="M37" s="1065">
        <f>Application!G735</f>
        <v>3</v>
      </c>
      <c r="N37" s="1071">
        <f>Application!AC735</f>
        <v>0.3</v>
      </c>
      <c r="O37" s="1071">
        <f>IF(Cdlac[[#This Row],[Quantity]]&gt;0,IF(Cdlac[[#This Row],[Federal]],30%,IF(AND(OR(NOT($G$38),$G$38=""),$G$43),40%,Cdlac[[#This Row],[iAMI]])),"")</f>
        <v>0.3</v>
      </c>
      <c r="P37" s="1065" cm="1">
        <f t="array" ref="P37">IF(Cdlac[[#This Row],[Quantity]]&gt;0,INDEX(TcacRents,$P$18,Cdlac[[#This Row],[Bedrooms]]+1)*Cdlac[[#This Row],[AMI]],"")</f>
        <v>1335</v>
      </c>
      <c r="Q37" s="1164"/>
      <c r="R37" s="1065" cm="1">
        <f t="array" ref="R37">IF(Cdlac[[#This Row],[Quantity]]&gt;0,INDEX(HudFmrs,$P$18,Cdlac[[#This Row],[Bedrooms]]+1),"")</f>
        <v>4223</v>
      </c>
      <c r="S37" s="1065">
        <f>IF(Cdlac[[#This Row],[Quantity]]&gt;0,MAX(0,Cdlac[[#This Row],[Fair Market Rent]]-IF(AND($G$37,$G$38,$G$38&lt;&gt;"",NOT(Cdlac[[#This Row],[Federal]]),Cdlac[[#This Row],[Preservation Rent]]&lt;&gt;""),Cdlac[[#This Row],[Preservation Rent]],Cdlac[[#This Row],[Restricted Rent]])),"")</f>
        <v>2888</v>
      </c>
      <c r="T37" s="1044">
        <f>IF(Cdlac[[#This Row],[Quantity]]&gt;0,AND(Application!AK735&lt;&gt;"N/A",Application!AK735&lt;&gt;"")*Cdlac[[#This Row],[Quantity]],"")</f>
        <v>0</v>
      </c>
      <c r="U37" s="1044" t="b">
        <f>AND('Subsidy Contract Calculation'!F21&gt;0,OR('Subsidy Contract Calculation'!C21="Federal",'Subsidy Contract Calculation'!C21="Local - Approved by ED"),Cdlac[[#This Row],[Quantity]]&gt;0)</f>
        <v>1</v>
      </c>
    </row>
    <row r="38" spans="1:21" ht="15" customHeight="1">
      <c r="E38" s="1084" t="s">
        <v>2262</v>
      </c>
      <c r="G38" s="1163"/>
      <c r="L38" s="1044">
        <f>IFERROR(MIN(4,MATCH(Application!B736,UnitSizes,0)-1),"")</f>
        <v>3</v>
      </c>
      <c r="M38" s="1065">
        <f>Application!G736</f>
        <v>1</v>
      </c>
      <c r="N38" s="1071">
        <f>Application!AC736</f>
        <v>0.5</v>
      </c>
      <c r="O38" s="1071">
        <f>IF(Cdlac[[#This Row],[Quantity]]&gt;0,IF(Cdlac[[#This Row],[Federal]],30%,IF(AND(OR(NOT($G$38),$G$38=""),$G$43),40%,Cdlac[[#This Row],[iAMI]])),"")</f>
        <v>0.3</v>
      </c>
      <c r="P38" s="1065" cm="1">
        <f t="array" ref="P38">IF(Cdlac[[#This Row],[Quantity]]&gt;0,INDEX(TcacRents,$P$18,Cdlac[[#This Row],[Bedrooms]]+1)*Cdlac[[#This Row],[AMI]],"")</f>
        <v>1542.6</v>
      </c>
      <c r="Q38" s="1164"/>
      <c r="R38" s="1065" cm="1">
        <f t="array" ref="R38">IF(Cdlac[[#This Row],[Quantity]]&gt;0,INDEX(HudFmrs,$P$18,Cdlac[[#This Row],[Bedrooms]]+1),"")</f>
        <v>5256</v>
      </c>
      <c r="S38" s="1065">
        <f>IF(Cdlac[[#This Row],[Quantity]]&gt;0,MAX(0,Cdlac[[#This Row],[Fair Market Rent]]-IF(AND($G$37,$G$38,$G$38&lt;&gt;"",NOT(Cdlac[[#This Row],[Federal]]),Cdlac[[#This Row],[Preservation Rent]]&lt;&gt;""),Cdlac[[#This Row],[Preservation Rent]],Cdlac[[#This Row],[Restricted Rent]])),"")</f>
        <v>3713.4</v>
      </c>
      <c r="T38" s="1044">
        <f>IF(Cdlac[[#This Row],[Quantity]]&gt;0,AND(Application!AK736&lt;&gt;"N/A",Application!AK736&lt;&gt;"")*Cdlac[[#This Row],[Quantity]],"")</f>
        <v>0</v>
      </c>
      <c r="U38" s="1044" t="b">
        <f>AND('Subsidy Contract Calculation'!F22&gt;0,OR('Subsidy Contract Calculation'!C22="Federal",'Subsidy Contract Calculation'!C22="Local - Approved by ED"),Cdlac[[#This Row],[Quantity]]&gt;0)</f>
        <v>1</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f>IFERROR(MIN(4,MATCH(Application!B737,UnitSizes,0)-1),"")</f>
        <v>3</v>
      </c>
      <c r="M39" s="1065">
        <f>Application!G737</f>
        <v>1</v>
      </c>
      <c r="N39" s="1071">
        <f>Application!AC737</f>
        <v>0.4</v>
      </c>
      <c r="O39" s="1071">
        <f>IF(Cdlac[[#This Row],[Quantity]]&gt;0,IF(Cdlac[[#This Row],[Federal]],30%,IF(AND(OR(NOT($G$38),$G$38=""),$G$43),40%,Cdlac[[#This Row],[iAMI]])),"")</f>
        <v>0.3</v>
      </c>
      <c r="P39" s="1065" cm="1">
        <f t="array" ref="P39">IF(Cdlac[[#This Row],[Quantity]]&gt;0,INDEX(TcacRents,$P$18,Cdlac[[#This Row],[Bedrooms]]+1)*Cdlac[[#This Row],[AMI]],"")</f>
        <v>1542.6</v>
      </c>
      <c r="Q39" s="1164"/>
      <c r="R39" s="1065" cm="1">
        <f t="array" ref="R39">IF(Cdlac[[#This Row],[Quantity]]&gt;0,INDEX(HudFmrs,$P$18,Cdlac[[#This Row],[Bedrooms]]+1),"")</f>
        <v>5256</v>
      </c>
      <c r="S39" s="1065">
        <f>IF(Cdlac[[#This Row],[Quantity]]&gt;0,MAX(0,Cdlac[[#This Row],[Fair Market Rent]]-IF(AND($G$37,$G$38,$G$38&lt;&gt;"",NOT(Cdlac[[#This Row],[Federal]]),Cdlac[[#This Row],[Preservation Rent]]&lt;&gt;""),Cdlac[[#This Row],[Preservation Rent]],Cdlac[[#This Row],[Restricted Rent]])),"")</f>
        <v>3713.4</v>
      </c>
      <c r="T39" s="1044">
        <f>IF(Cdlac[[#This Row],[Quantity]]&gt;0,AND(Application!AK737&lt;&gt;"N/A",Application!AK737&lt;&gt;"")*Cdlac[[#This Row],[Quantity]],"")</f>
        <v>0</v>
      </c>
      <c r="U39" s="1044" t="b">
        <f>AND('Subsidy Contract Calculation'!F23&gt;0,OR('Subsidy Contract Calculation'!C23="Federal",'Subsidy Contract Calculation'!C23="Local - Approved by ED"),Cdlac[[#This Row],[Quantity]]&gt;0)</f>
        <v>1</v>
      </c>
    </row>
    <row r="40" spans="1:21" ht="15" customHeight="1">
      <c r="C40" s="2656"/>
      <c r="D40" s="2656"/>
      <c r="E40" s="2656"/>
      <c r="F40" s="2656"/>
      <c r="G40" s="2656"/>
      <c r="H40" s="2656"/>
      <c r="L40" s="1044">
        <f>IFERROR(MIN(4,MATCH(Application!B738,UnitSizes,0)-1),"")</f>
        <v>3</v>
      </c>
      <c r="M40" s="1065">
        <f>Application!G738</f>
        <v>2</v>
      </c>
      <c r="N40" s="1071">
        <f>Application!AC738</f>
        <v>0.3</v>
      </c>
      <c r="O40" s="1071">
        <f>IF(Cdlac[[#This Row],[Quantity]]&gt;0,IF(Cdlac[[#This Row],[Federal]],30%,IF(AND(OR(NOT($G$38),$G$38=""),$G$43),40%,Cdlac[[#This Row],[iAMI]])),"")</f>
        <v>0.3</v>
      </c>
      <c r="P40" s="1065" cm="1">
        <f t="array" ref="P40">IF(Cdlac[[#This Row],[Quantity]]&gt;0,INDEX(TcacRents,$P$18,Cdlac[[#This Row],[Bedrooms]]+1)*Cdlac[[#This Row],[AMI]],"")</f>
        <v>1542.6</v>
      </c>
      <c r="Q40" s="1164"/>
      <c r="R40" s="1065" cm="1">
        <f t="array" ref="R40">IF(Cdlac[[#This Row],[Quantity]]&gt;0,INDEX(HudFmrs,$P$18,Cdlac[[#This Row],[Bedrooms]]+1),"")</f>
        <v>5256</v>
      </c>
      <c r="S40" s="1065">
        <f>IF(Cdlac[[#This Row],[Quantity]]&gt;0,MAX(0,Cdlac[[#This Row],[Fair Market Rent]]-IF(AND($G$37,$G$38,$G$38&lt;&gt;"",NOT(Cdlac[[#This Row],[Federal]]),Cdlac[[#This Row],[Preservation Rent]]&lt;&gt;""),Cdlac[[#This Row],[Preservation Rent]],Cdlac[[#This Row],[Restricted Rent]])),"")</f>
        <v>3713.4</v>
      </c>
      <c r="T40" s="1044">
        <f>IF(Cdlac[[#This Row],[Quantity]]&gt;0,AND(Application!AK738&lt;&gt;"N/A",Application!AK738&lt;&gt;"")*Cdlac[[#This Row],[Quantity]],"")</f>
        <v>0</v>
      </c>
      <c r="U40" s="1044" t="b">
        <f>AND('Subsidy Contract Calculation'!F24&gt;0,OR('Subsidy Contract Calculation'!C24="Federal",'Subsidy Contract Calculation'!C24="Local - Approved by ED"),Cdlac[[#This Row],[Quantity]]&gt;0)</f>
        <v>1</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0.49310344827586211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110779.79999999999</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19940363.999999996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13</v>
      </c>
    </row>
    <row r="61" spans="2:21" ht="15" customHeight="1">
      <c r="E61" s="1117" t="s">
        <v>1996</v>
      </c>
      <c r="G61" s="1079">
        <f>ROUNDDOWN(E29*50%,0)</f>
        <v>24</v>
      </c>
    </row>
    <row r="62" spans="2:21" ht="15" customHeight="1">
      <c r="E62" s="1117"/>
      <c r="G62" s="1079"/>
    </row>
    <row r="63" spans="2:21" ht="15" customHeight="1">
      <c r="E63" s="1117" t="s">
        <v>1956</v>
      </c>
      <c r="G63" s="1114">
        <f>MIN(G60:G61)</f>
        <v>13</v>
      </c>
    </row>
    <row r="64" spans="2:21" ht="15" customHeight="1">
      <c r="E64" s="1117" t="s">
        <v>1946</v>
      </c>
      <c r="F64" s="1113" t="s">
        <v>1994</v>
      </c>
      <c r="G64" s="1124">
        <v>20000</v>
      </c>
    </row>
    <row r="65" spans="2:14" ht="15" customHeight="1">
      <c r="E65" s="1118" t="s">
        <v>1978</v>
      </c>
      <c r="F65" s="1046"/>
      <c r="G65" s="1123">
        <f>G63*G64</f>
        <v>260000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Highest Resource</v>
      </c>
      <c r="L72" s="2664" t="s">
        <v>1971</v>
      </c>
      <c r="M72" s="2665"/>
      <c r="N72" s="1131">
        <v>30000</v>
      </c>
    </row>
    <row r="73" spans="2:14" ht="15" customHeight="1">
      <c r="C73" s="2666" t="s">
        <v>2264</v>
      </c>
      <c r="D73" s="2666"/>
      <c r="E73" s="2666"/>
      <c r="F73" s="2666"/>
      <c r="G73" s="1043" t="s">
        <v>670</v>
      </c>
      <c r="L73" s="2675" t="s">
        <v>1939</v>
      </c>
      <c r="M73" s="2676"/>
      <c r="N73" s="1132">
        <v>20000</v>
      </c>
    </row>
    <row r="74" spans="2:14" ht="15" customHeight="1" thickBot="1">
      <c r="C74" s="2666"/>
      <c r="D74" s="2666"/>
      <c r="E74" s="2666"/>
      <c r="F74" s="2666"/>
      <c r="L74" s="2677" t="s">
        <v>1972</v>
      </c>
      <c r="M74" s="2678"/>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59</v>
      </c>
    </row>
    <row r="80" spans="2:14" ht="15" customHeight="1">
      <c r="D80" s="1046"/>
      <c r="E80" s="1118" t="s">
        <v>2269</v>
      </c>
      <c r="F80" s="1046"/>
      <c r="G80" s="1123">
        <f>G79*G78*G76</f>
        <v>1770000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59</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59</v>
      </c>
    </row>
    <row r="97" spans="2:14" ht="15" customHeight="1">
      <c r="E97" s="1118" t="s">
        <v>1963</v>
      </c>
      <c r="F97" s="1046"/>
      <c r="G97" s="1123">
        <f>G94*G95*G96</f>
        <v>1652000</v>
      </c>
      <c r="L97" s="1127" t="str">
        <f>'Points System'!H638</f>
        <v>(i)</v>
      </c>
      <c r="M97" s="2683" t="s">
        <v>1406</v>
      </c>
      <c r="N97" s="2684"/>
    </row>
    <row r="98" spans="2:14" ht="15" customHeight="1">
      <c r="C98" s="1077"/>
      <c r="G98" s="1114"/>
      <c r="L98" s="1128" t="str">
        <f>'Points System'!H650</f>
        <v>(i)</v>
      </c>
      <c r="M98" s="2679" t="s">
        <v>1958</v>
      </c>
      <c r="N98" s="2680"/>
    </row>
    <row r="99" spans="2:14" ht="15" customHeight="1">
      <c r="E99" s="1084" t="s">
        <v>1999</v>
      </c>
      <c r="G99" s="1126">
        <f>COUNTIFS(L97:L104,"(i)")</f>
        <v>5</v>
      </c>
      <c r="L99" s="1128" t="str">
        <f>'Points System'!H685</f>
        <v>(v)</v>
      </c>
      <c r="M99" s="2679" t="s">
        <v>1959</v>
      </c>
      <c r="N99" s="2680"/>
    </row>
    <row r="100" spans="2:14" ht="15" customHeight="1">
      <c r="E100" s="1084" t="s">
        <v>1946</v>
      </c>
      <c r="F100" s="1113" t="s">
        <v>1994</v>
      </c>
      <c r="G100" s="1124">
        <v>4000</v>
      </c>
      <c r="L100" s="1128" t="str">
        <f>IF(OR('Points System'!H709="(ii)",'Points System'!H709="(i)"),"(i)","N/A")</f>
        <v>(i)</v>
      </c>
      <c r="M100" s="2679" t="s">
        <v>1960</v>
      </c>
      <c r="N100" s="2680"/>
    </row>
    <row r="101" spans="2:14" ht="15" customHeight="1">
      <c r="E101" s="1118" t="s">
        <v>1964</v>
      </c>
      <c r="F101" s="1046"/>
      <c r="G101" s="1123">
        <f>G96*G99*G100</f>
        <v>1180000</v>
      </c>
      <c r="L101" s="1129" t="str">
        <f>'Points System'!H723</f>
        <v>N/A</v>
      </c>
      <c r="M101" s="2679" t="s">
        <v>1432</v>
      </c>
      <c r="N101" s="2680"/>
    </row>
    <row r="102" spans="2:14" ht="15" customHeight="1">
      <c r="L102" s="1128" t="str">
        <f>'Points System'!H735</f>
        <v>N/A</v>
      </c>
      <c r="M102" s="2679" t="s">
        <v>1961</v>
      </c>
      <c r="N102" s="2680"/>
    </row>
    <row r="103" spans="2:14" ht="15" customHeight="1">
      <c r="C103" s="1080" t="s">
        <v>1966</v>
      </c>
      <c r="L103" s="1128" t="str">
        <f>'Points System'!H751</f>
        <v>(i)</v>
      </c>
      <c r="M103" s="2679" t="s">
        <v>1962</v>
      </c>
      <c r="N103" s="2680"/>
    </row>
    <row r="104" spans="2:14" ht="15" customHeight="1" thickBot="1">
      <c r="C104" s="1077" t="s">
        <v>1967</v>
      </c>
      <c r="G104" s="1043"/>
      <c r="L104" s="1130" t="str">
        <f>'Points System'!H763</f>
        <v>(i)</v>
      </c>
      <c r="M104" s="2681" t="s">
        <v>1435</v>
      </c>
      <c r="N104" s="2682"/>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59</v>
      </c>
    </row>
    <row r="112" spans="2:14" ht="15" customHeight="1">
      <c r="E112" s="1084" t="s">
        <v>1946</v>
      </c>
      <c r="F112" s="1113" t="s">
        <v>1994</v>
      </c>
      <c r="G112" s="1124">
        <v>25000</v>
      </c>
    </row>
    <row r="113" spans="2:9" ht="15" customHeight="1">
      <c r="E113" s="1118" t="s">
        <v>1965</v>
      </c>
      <c r="F113" s="1046"/>
      <c r="G113" s="1123">
        <f>G109*G112*G96</f>
        <v>1475000</v>
      </c>
    </row>
    <row r="114" spans="2:9" ht="15" customHeight="1">
      <c r="C114" s="1077"/>
      <c r="E114" s="1077"/>
    </row>
    <row r="115" spans="2:9" ht="15" customHeight="1">
      <c r="E115" s="1118" t="s">
        <v>2274</v>
      </c>
      <c r="G115" s="1123">
        <f>G113+G101+G97</f>
        <v>4307000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2229</v>
      </c>
      <c r="D119" s="2655"/>
      <c r="E119" s="2655"/>
      <c r="F119" s="2655"/>
    </row>
    <row r="120" spans="2:9" ht="15" customHeight="1">
      <c r="C120" s="2655"/>
      <c r="D120" s="2655"/>
      <c r="E120" s="2655"/>
      <c r="F120" s="2655"/>
      <c r="G120" s="1043" t="s">
        <v>546</v>
      </c>
    </row>
    <row r="121" spans="2:9" ht="15" customHeight="1"/>
    <row r="122" spans="2:9" ht="15" customHeight="1">
      <c r="C122" s="1044" t="s">
        <v>2231</v>
      </c>
      <c r="G122" s="2657" t="s">
        <v>2718</v>
      </c>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2002</v>
      </c>
      <c r="G131" s="1078">
        <f>MEDIAN((Application!CU160:CU217))</f>
        <v>489600</v>
      </c>
    </row>
    <row r="132" spans="2:9">
      <c r="D132" s="1046"/>
      <c r="E132" s="1118" t="s">
        <v>2004</v>
      </c>
      <c r="F132" s="1134"/>
      <c r="G132" s="1135">
        <f>((G130-G131)/G131)*0.25</f>
        <v>3.7173202614379085E-2</v>
      </c>
      <c r="H132" s="1042"/>
      <c r="I132" s="1042"/>
    </row>
    <row r="133" spans="2:9">
      <c r="D133" s="1045"/>
      <c r="E133" s="1045"/>
    </row>
    <row r="134" spans="2:9">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0" t="s">
        <v>2277</v>
      </c>
      <c r="D138" s="2650"/>
      <c r="E138" s="2650"/>
      <c r="F138" s="2650"/>
    </row>
    <row r="139" spans="2:9">
      <c r="B139" s="1045"/>
      <c r="C139" s="2650"/>
      <c r="D139" s="2650"/>
      <c r="E139" s="2650"/>
      <c r="F139" s="2650"/>
      <c r="G139" s="1043" t="s">
        <v>546</v>
      </c>
    </row>
    <row r="140" spans="2:9">
      <c r="B140" s="1045"/>
      <c r="C140" s="1045"/>
      <c r="D140" s="1045"/>
      <c r="E140" s="1045"/>
      <c r="F140" s="1045"/>
    </row>
    <row r="141" spans="2:9" ht="14.25" customHeight="1">
      <c r="E141" s="1084" t="s">
        <v>2279</v>
      </c>
      <c r="G141" s="1169">
        <v>0</v>
      </c>
    </row>
    <row r="143" spans="2:9">
      <c r="E143" s="1084" t="s">
        <v>2281</v>
      </c>
      <c r="G143" s="1168">
        <f>IF(I9=0,0,G141/I9)</f>
        <v>0</v>
      </c>
    </row>
    <row r="144" spans="2:9">
      <c r="E144" s="1084" t="s">
        <v>2278</v>
      </c>
      <c r="G144" s="1166">
        <f>I9*0.15</f>
        <v>3398372.85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G40" sqref="G40"/>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83.4">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4</v>
      </c>
      <c r="C4" s="1162" t="s">
        <v>385</v>
      </c>
      <c r="D4" s="428">
        <f>Application!O718</f>
        <v>2125</v>
      </c>
      <c r="E4" s="429"/>
      <c r="F4" s="1083">
        <v>0</v>
      </c>
      <c r="G4" s="428">
        <f>F4*B4</f>
        <v>0</v>
      </c>
      <c r="H4" s="429"/>
      <c r="I4" s="428" t="str">
        <f t="shared" ref="I4:I27" si="0">IF(F4=0,"",(F4-D4))</f>
        <v/>
      </c>
      <c r="J4" s="428" t="str">
        <f t="shared" ref="J4:J27" si="1">IF(F4=0,"",(I4*B4))</f>
        <v/>
      </c>
      <c r="K4" s="204"/>
      <c r="L4" s="305"/>
    </row>
    <row r="5" spans="1:12">
      <c r="A5" s="428" t="str">
        <f>Application!B719</f>
        <v>1 Bedroom</v>
      </c>
      <c r="B5" s="1082">
        <f>Application!G719</f>
        <v>5</v>
      </c>
      <c r="C5" s="1162" t="s">
        <v>385</v>
      </c>
      <c r="D5" s="428">
        <f>Application!O719</f>
        <v>1754</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1383</v>
      </c>
      <c r="E6" s="429"/>
      <c r="F6" s="1083"/>
      <c r="G6" s="428">
        <f t="shared" si="2"/>
        <v>0</v>
      </c>
      <c r="H6" s="429"/>
      <c r="I6" s="428" t="str">
        <f t="shared" si="0"/>
        <v/>
      </c>
      <c r="J6" s="428" t="str">
        <f t="shared" si="1"/>
        <v/>
      </c>
      <c r="K6" s="204"/>
      <c r="L6" s="305"/>
    </row>
    <row r="7" spans="1:12">
      <c r="A7" s="428" t="str">
        <f>Application!B721</f>
        <v>1 Bedroom</v>
      </c>
      <c r="B7" s="1082">
        <f>Application!G721</f>
        <v>1</v>
      </c>
      <c r="C7" s="1162"/>
      <c r="D7" s="428">
        <f>Application!O721</f>
        <v>1012</v>
      </c>
      <c r="E7" s="429"/>
      <c r="F7" s="1083"/>
      <c r="G7" s="428">
        <f t="shared" si="2"/>
        <v>0</v>
      </c>
      <c r="H7" s="429"/>
      <c r="I7" s="428" t="str">
        <f t="shared" si="0"/>
        <v/>
      </c>
      <c r="J7" s="428" t="str">
        <f t="shared" si="1"/>
        <v/>
      </c>
      <c r="K7" s="204"/>
      <c r="L7" s="305"/>
    </row>
    <row r="8" spans="1:12">
      <c r="A8" s="428" t="str">
        <f>Application!B722</f>
        <v>2 Bedrooms</v>
      </c>
      <c r="B8" s="1082">
        <f>Application!G722</f>
        <v>2</v>
      </c>
      <c r="C8" s="1162"/>
      <c r="D8" s="428">
        <f>Application!O722</f>
        <v>2533</v>
      </c>
      <c r="E8" s="429"/>
      <c r="F8" s="1083"/>
      <c r="G8" s="428">
        <f t="shared" si="2"/>
        <v>0</v>
      </c>
      <c r="H8" s="429"/>
      <c r="I8" s="428" t="str">
        <f t="shared" si="0"/>
        <v/>
      </c>
      <c r="J8" s="428" t="str">
        <f t="shared" si="1"/>
        <v/>
      </c>
      <c r="K8" s="204"/>
      <c r="L8" s="305"/>
    </row>
    <row r="9" spans="1:12">
      <c r="A9" s="428" t="str">
        <f>Application!B723</f>
        <v>2 Bedrooms</v>
      </c>
      <c r="B9" s="1082">
        <f>Application!G723</f>
        <v>4</v>
      </c>
      <c r="C9" s="1162"/>
      <c r="D9" s="428">
        <f>Application!O723</f>
        <v>2088</v>
      </c>
      <c r="E9" s="429"/>
      <c r="F9" s="1083"/>
      <c r="G9" s="428">
        <f t="shared" si="2"/>
        <v>0</v>
      </c>
      <c r="H9" s="429"/>
      <c r="I9" s="428" t="str">
        <f t="shared" si="0"/>
        <v/>
      </c>
      <c r="J9" s="428" t="str">
        <f t="shared" si="1"/>
        <v/>
      </c>
      <c r="K9" s="204"/>
      <c r="L9" s="305"/>
    </row>
    <row r="10" spans="1:12">
      <c r="A10" s="428" t="str">
        <f>Application!B724</f>
        <v>2 Bedrooms</v>
      </c>
      <c r="B10" s="1082">
        <f>Application!G724</f>
        <v>1</v>
      </c>
      <c r="C10" s="1162"/>
      <c r="D10" s="428">
        <f>Application!O724</f>
        <v>1643</v>
      </c>
      <c r="E10" s="429"/>
      <c r="F10" s="1083"/>
      <c r="G10" s="428">
        <f t="shared" si="2"/>
        <v>0</v>
      </c>
      <c r="H10" s="429"/>
      <c r="I10" s="428" t="str">
        <f t="shared" si="0"/>
        <v/>
      </c>
      <c r="J10" s="428" t="str">
        <f t="shared" si="1"/>
        <v/>
      </c>
      <c r="K10" s="204"/>
      <c r="L10" s="305"/>
    </row>
    <row r="11" spans="1:12">
      <c r="A11" s="428" t="str">
        <f>Application!B725</f>
        <v>2 Bedrooms</v>
      </c>
      <c r="B11" s="1082">
        <f>Application!G725</f>
        <v>1</v>
      </c>
      <c r="C11" s="1162"/>
      <c r="D11" s="428">
        <f>Application!O725</f>
        <v>1198</v>
      </c>
      <c r="E11" s="429"/>
      <c r="F11" s="1083"/>
      <c r="G11" s="428">
        <f t="shared" si="2"/>
        <v>0</v>
      </c>
      <c r="H11" s="429"/>
      <c r="I11" s="428" t="str">
        <f t="shared" si="0"/>
        <v/>
      </c>
      <c r="J11" s="428" t="str">
        <f t="shared" si="1"/>
        <v/>
      </c>
      <c r="K11" s="204"/>
      <c r="L11" s="305"/>
    </row>
    <row r="12" spans="1:12">
      <c r="A12" s="428" t="str">
        <f>Application!B726</f>
        <v>3 Bedrooms</v>
      </c>
      <c r="B12" s="1082">
        <f>Application!G726</f>
        <v>2</v>
      </c>
      <c r="C12" s="1162"/>
      <c r="D12" s="428">
        <f>Application!O726</f>
        <v>2908</v>
      </c>
      <c r="E12" s="429"/>
      <c r="F12" s="1083"/>
      <c r="G12" s="428">
        <f t="shared" si="2"/>
        <v>0</v>
      </c>
      <c r="H12" s="429"/>
      <c r="I12" s="428" t="str">
        <f t="shared" si="0"/>
        <v/>
      </c>
      <c r="J12" s="428" t="str">
        <f t="shared" si="1"/>
        <v/>
      </c>
      <c r="K12" s="204"/>
      <c r="L12" s="305"/>
    </row>
    <row r="13" spans="1:12">
      <c r="A13" s="428" t="str">
        <f>Application!B727</f>
        <v>3 Bedrooms</v>
      </c>
      <c r="B13" s="1082">
        <f>Application!G727</f>
        <v>5</v>
      </c>
      <c r="C13" s="1162"/>
      <c r="D13" s="428">
        <f>Application!O727</f>
        <v>2394</v>
      </c>
      <c r="E13" s="429"/>
      <c r="F13" s="1083"/>
      <c r="G13" s="428">
        <f t="shared" si="2"/>
        <v>0</v>
      </c>
      <c r="H13" s="429"/>
      <c r="I13" s="428" t="str">
        <f t="shared" si="0"/>
        <v/>
      </c>
      <c r="J13" s="428" t="str">
        <f t="shared" si="1"/>
        <v/>
      </c>
      <c r="K13" s="204"/>
      <c r="L13" s="305"/>
    </row>
    <row r="14" spans="1:12">
      <c r="A14" s="428" t="str">
        <f>Application!B728</f>
        <v>3 Bedrooms</v>
      </c>
      <c r="B14" s="1082">
        <f>Application!G728</f>
        <v>1</v>
      </c>
      <c r="C14" s="1162"/>
      <c r="D14" s="428">
        <f>Application!O728</f>
        <v>1880</v>
      </c>
      <c r="E14" s="429"/>
      <c r="F14" s="1083"/>
      <c r="G14" s="428">
        <f t="shared" si="2"/>
        <v>0</v>
      </c>
      <c r="H14" s="429"/>
      <c r="I14" s="428" t="str">
        <f t="shared" si="0"/>
        <v/>
      </c>
      <c r="J14" s="428" t="str">
        <f t="shared" si="1"/>
        <v/>
      </c>
      <c r="K14" s="204"/>
      <c r="L14" s="305"/>
    </row>
    <row r="15" spans="1:12">
      <c r="A15" s="428" t="str">
        <f>Application!B729</f>
        <v>3 Bedrooms</v>
      </c>
      <c r="B15" s="1082">
        <f>Application!G729</f>
        <v>1</v>
      </c>
      <c r="C15" s="1162"/>
      <c r="D15" s="428">
        <f>Application!O729</f>
        <v>1365</v>
      </c>
      <c r="E15" s="429"/>
      <c r="F15" s="1083"/>
      <c r="G15" s="428">
        <f t="shared" si="2"/>
        <v>0</v>
      </c>
      <c r="H15" s="429"/>
      <c r="I15" s="428" t="str">
        <f t="shared" si="0"/>
        <v/>
      </c>
      <c r="J15" s="428" t="str">
        <f t="shared" si="1"/>
        <v/>
      </c>
      <c r="K15" s="204"/>
      <c r="L15" s="305"/>
    </row>
    <row r="16" spans="1:12">
      <c r="A16" s="428" t="str">
        <f>Application!B730</f>
        <v>1 Bedroom</v>
      </c>
      <c r="B16" s="1082">
        <f>Application!G730</f>
        <v>1</v>
      </c>
      <c r="C16" s="1162" t="s">
        <v>385</v>
      </c>
      <c r="D16" s="428">
        <f>Application!O730</f>
        <v>1754</v>
      </c>
      <c r="E16" s="429"/>
      <c r="F16" s="1083">
        <f>2878-100</f>
        <v>2778</v>
      </c>
      <c r="G16" s="428">
        <f t="shared" si="2"/>
        <v>2778</v>
      </c>
      <c r="H16" s="429"/>
      <c r="I16" s="428">
        <f t="shared" si="0"/>
        <v>1024</v>
      </c>
      <c r="J16" s="428">
        <f t="shared" si="1"/>
        <v>1024</v>
      </c>
      <c r="K16" s="204"/>
      <c r="L16" s="305"/>
    </row>
    <row r="17" spans="1:12">
      <c r="A17" s="428" t="str">
        <f>Application!B731</f>
        <v>1 Bedroom</v>
      </c>
      <c r="B17" s="1082">
        <f>Application!G731</f>
        <v>4</v>
      </c>
      <c r="C17" s="1162" t="s">
        <v>385</v>
      </c>
      <c r="D17" s="428">
        <f>Application!O731</f>
        <v>1383</v>
      </c>
      <c r="E17" s="429"/>
      <c r="F17" s="1083">
        <f>2878-100</f>
        <v>2778</v>
      </c>
      <c r="G17" s="428">
        <f t="shared" si="2"/>
        <v>11112</v>
      </c>
      <c r="H17" s="429"/>
      <c r="I17" s="428">
        <f t="shared" si="0"/>
        <v>1395</v>
      </c>
      <c r="J17" s="428">
        <f t="shared" si="1"/>
        <v>5580</v>
      </c>
      <c r="K17" s="204"/>
      <c r="L17" s="305"/>
    </row>
    <row r="18" spans="1:12">
      <c r="A18" s="428" t="str">
        <f>Application!B732</f>
        <v>1 Bedroom</v>
      </c>
      <c r="B18" s="1082">
        <f>Application!G732</f>
        <v>5</v>
      </c>
      <c r="C18" s="1162" t="s">
        <v>385</v>
      </c>
      <c r="D18" s="428">
        <f>Application!O732</f>
        <v>1012</v>
      </c>
      <c r="E18" s="429"/>
      <c r="F18" s="1083">
        <f>2878-100</f>
        <v>2778</v>
      </c>
      <c r="G18" s="428">
        <f t="shared" si="2"/>
        <v>13890</v>
      </c>
      <c r="H18" s="429"/>
      <c r="I18" s="428">
        <f t="shared" si="0"/>
        <v>1766</v>
      </c>
      <c r="J18" s="428">
        <f t="shared" si="1"/>
        <v>8830</v>
      </c>
      <c r="K18" s="204"/>
      <c r="L18" s="305"/>
    </row>
    <row r="19" spans="1:12">
      <c r="A19" s="428" t="str">
        <f>Application!B733</f>
        <v>2 Bedrooms</v>
      </c>
      <c r="B19" s="1082">
        <f>Application!G733</f>
        <v>1</v>
      </c>
      <c r="C19" s="1162" t="s">
        <v>385</v>
      </c>
      <c r="D19" s="428">
        <f>Application!O733</f>
        <v>2088</v>
      </c>
      <c r="E19" s="429"/>
      <c r="F19" s="1083">
        <f>3786-137</f>
        <v>3649</v>
      </c>
      <c r="G19" s="428">
        <f t="shared" si="2"/>
        <v>3649</v>
      </c>
      <c r="H19" s="429"/>
      <c r="I19" s="428">
        <f t="shared" si="0"/>
        <v>1561</v>
      </c>
      <c r="J19" s="428">
        <f t="shared" si="1"/>
        <v>1561</v>
      </c>
      <c r="K19" s="204"/>
      <c r="L19" s="305"/>
    </row>
    <row r="20" spans="1:12">
      <c r="A20" s="428" t="str">
        <f>Application!B734</f>
        <v>2 Bedrooms</v>
      </c>
      <c r="B20" s="1082">
        <f>Application!G734</f>
        <v>2</v>
      </c>
      <c r="C20" s="1162" t="s">
        <v>385</v>
      </c>
      <c r="D20" s="428">
        <f>Application!O734</f>
        <v>1643</v>
      </c>
      <c r="E20" s="429"/>
      <c r="F20" s="1083">
        <f>3786-137</f>
        <v>3649</v>
      </c>
      <c r="G20" s="428">
        <f t="shared" si="2"/>
        <v>7298</v>
      </c>
      <c r="H20" s="429"/>
      <c r="I20" s="428">
        <f t="shared" si="0"/>
        <v>2006</v>
      </c>
      <c r="J20" s="428">
        <f t="shared" si="1"/>
        <v>4012</v>
      </c>
      <c r="K20" s="204"/>
      <c r="L20" s="305"/>
    </row>
    <row r="21" spans="1:12">
      <c r="A21" s="428" t="str">
        <f>Application!B735</f>
        <v>2 Bedrooms</v>
      </c>
      <c r="B21" s="1082">
        <f>Application!G735</f>
        <v>3</v>
      </c>
      <c r="C21" s="1162" t="s">
        <v>385</v>
      </c>
      <c r="D21" s="428">
        <f>Application!O735</f>
        <v>1198</v>
      </c>
      <c r="E21" s="429"/>
      <c r="F21" s="1083">
        <f>3786-137</f>
        <v>3649</v>
      </c>
      <c r="G21" s="428">
        <f t="shared" si="2"/>
        <v>10947</v>
      </c>
      <c r="H21" s="429"/>
      <c r="I21" s="428">
        <f t="shared" si="0"/>
        <v>2451</v>
      </c>
      <c r="J21" s="428">
        <f t="shared" si="1"/>
        <v>7353</v>
      </c>
      <c r="K21" s="204"/>
      <c r="L21" s="305"/>
    </row>
    <row r="22" spans="1:12">
      <c r="A22" s="428" t="str">
        <f>Application!B736</f>
        <v>3 Bedrooms</v>
      </c>
      <c r="B22" s="1082">
        <f>Application!G736</f>
        <v>1</v>
      </c>
      <c r="C22" s="1162" t="s">
        <v>385</v>
      </c>
      <c r="D22" s="428">
        <f>Application!O736</f>
        <v>2394</v>
      </c>
      <c r="E22" s="429"/>
      <c r="F22" s="1083">
        <f>5100-177</f>
        <v>4923</v>
      </c>
      <c r="G22" s="428">
        <f t="shared" si="2"/>
        <v>4923</v>
      </c>
      <c r="H22" s="429"/>
      <c r="I22" s="428">
        <f t="shared" si="0"/>
        <v>2529</v>
      </c>
      <c r="J22" s="428">
        <f t="shared" si="1"/>
        <v>2529</v>
      </c>
      <c r="K22" s="204"/>
      <c r="L22" s="305"/>
    </row>
    <row r="23" spans="1:12">
      <c r="A23" s="428" t="str">
        <f>Application!B737</f>
        <v>3 Bedrooms</v>
      </c>
      <c r="B23" s="1082">
        <f>Application!G737</f>
        <v>1</v>
      </c>
      <c r="C23" s="1162" t="s">
        <v>385</v>
      </c>
      <c r="D23" s="428">
        <f>Application!O737</f>
        <v>1880</v>
      </c>
      <c r="E23" s="429"/>
      <c r="F23" s="1083">
        <f>5100-177</f>
        <v>4923</v>
      </c>
      <c r="G23" s="428">
        <f t="shared" si="2"/>
        <v>4923</v>
      </c>
      <c r="H23" s="429"/>
      <c r="I23" s="428">
        <f t="shared" si="0"/>
        <v>3043</v>
      </c>
      <c r="J23" s="428">
        <f t="shared" si="1"/>
        <v>3043</v>
      </c>
      <c r="K23" s="204"/>
      <c r="L23" s="305"/>
    </row>
    <row r="24" spans="1:12">
      <c r="A24" s="428" t="str">
        <f>Application!B738</f>
        <v>3 Bedrooms</v>
      </c>
      <c r="B24" s="1082">
        <f>Application!G738</f>
        <v>2</v>
      </c>
      <c r="C24" s="1162" t="s">
        <v>385</v>
      </c>
      <c r="D24" s="428">
        <f>Application!O738</f>
        <v>1365</v>
      </c>
      <c r="E24" s="429"/>
      <c r="F24" s="1083">
        <f>5100-177</f>
        <v>4923</v>
      </c>
      <c r="G24" s="428">
        <f t="shared" si="2"/>
        <v>9846</v>
      </c>
      <c r="H24" s="429"/>
      <c r="I24" s="428">
        <f t="shared" si="0"/>
        <v>3558</v>
      </c>
      <c r="J24" s="428">
        <f t="shared" si="1"/>
        <v>7116</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86656</v>
      </c>
      <c r="E40" s="429"/>
      <c r="F40" s="429"/>
      <c r="G40" s="432">
        <f>SUM(G4:G38)*12</f>
        <v>832392</v>
      </c>
      <c r="H40" s="433"/>
      <c r="I40" s="431"/>
      <c r="J40" s="432">
        <f>SUM(J4:J38)*12</f>
        <v>492576</v>
      </c>
      <c r="K40" s="204"/>
      <c r="L40" s="306"/>
    </row>
    <row r="41" spans="1:12">
      <c r="A41" s="430"/>
      <c r="B41" s="431"/>
      <c r="C41" s="431"/>
      <c r="D41" s="433"/>
      <c r="E41" s="429"/>
      <c r="F41" s="429"/>
      <c r="G41" s="433"/>
      <c r="H41" s="433"/>
      <c r="I41" s="431"/>
      <c r="J41" s="433"/>
      <c r="K41" s="204"/>
      <c r="L41" s="306"/>
    </row>
    <row r="42" spans="1:12">
      <c r="A42" s="304" t="s">
        <v>2259</v>
      </c>
    </row>
    <row r="43" spans="1:12">
      <c r="A43" s="2686" t="s">
        <v>2498</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2260</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5" workbookViewId="0">
      <selection activeCell="E62" sqref="E62:AG62"/>
    </sheetView>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2095</v>
      </c>
      <c r="B1" s="211"/>
    </row>
    <row r="2" spans="1:34"/>
    <row r="3" spans="1:34" ht="15.6">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3.8">
      <c r="A4" s="219" t="s">
        <v>838</v>
      </c>
      <c r="C4" s="237">
        <v>1.0249999999999999</v>
      </c>
      <c r="E4" s="219">
        <f>Application!Y801</f>
        <v>1039872</v>
      </c>
      <c r="G4" s="219">
        <f>E4*$C$4</f>
        <v>1065868.7999999998</v>
      </c>
      <c r="I4" s="219">
        <f>G4*$C$4</f>
        <v>1092515.5199999998</v>
      </c>
      <c r="K4" s="219">
        <f>I4*$C$4</f>
        <v>1119828.4079999996</v>
      </c>
      <c r="M4" s="219">
        <f>K4*$C$4</f>
        <v>1147824.1181999994</v>
      </c>
      <c r="O4" s="219">
        <f>M4*$C$4</f>
        <v>1176519.7211549992</v>
      </c>
      <c r="Q4" s="219">
        <f>O4*$C$4</f>
        <v>1205932.7141838742</v>
      </c>
      <c r="S4" s="219">
        <f>Q4*$C$4</f>
        <v>1236081.032038471</v>
      </c>
      <c r="U4" s="219">
        <f>S4*$C$4</f>
        <v>1266983.0578394327</v>
      </c>
      <c r="W4" s="219">
        <f>U4*$C$4</f>
        <v>1298657.6342854185</v>
      </c>
      <c r="Y4" s="219">
        <f>W4*$C$4</f>
        <v>1331124.075142554</v>
      </c>
      <c r="AA4" s="219">
        <f>Y4*$C$4</f>
        <v>1364402.1770211176</v>
      </c>
      <c r="AC4" s="219">
        <f>AA4*$C$4</f>
        <v>1398512.2314466455</v>
      </c>
      <c r="AE4" s="219">
        <f>AC4*$C$4</f>
        <v>1433475.0372328116</v>
      </c>
      <c r="AG4" s="219">
        <f>AE4*$C$4</f>
        <v>1469311.9131636317</v>
      </c>
    </row>
    <row r="5" spans="1:34" s="210" customFormat="1" ht="13.8">
      <c r="B5" s="210" t="s">
        <v>839</v>
      </c>
      <c r="C5" s="238">
        <f>IF(Application!$D$211="Special Needs",(((0.1*Application!$T$212)+(0.05*(1-Application!$T$212)))),0.05)</f>
        <v>0.05</v>
      </c>
      <c r="E5" s="221">
        <f>-E4*$C$5</f>
        <v>-51993.600000000006</v>
      </c>
      <c r="F5" s="221"/>
      <c r="G5" s="221">
        <f>-G4*$C$5</f>
        <v>-53293.439999999995</v>
      </c>
      <c r="H5" s="221"/>
      <c r="I5" s="221">
        <f>-I4*$C$5</f>
        <v>-54625.775999999991</v>
      </c>
      <c r="J5" s="221"/>
      <c r="K5" s="221">
        <f>-K4*$C$5</f>
        <v>-55991.420399999981</v>
      </c>
      <c r="L5" s="221"/>
      <c r="M5" s="221">
        <f>-M4*$C$5</f>
        <v>-57391.205909999975</v>
      </c>
      <c r="N5" s="221"/>
      <c r="O5" s="221">
        <f>-O4*$C$5</f>
        <v>-58825.986057749964</v>
      </c>
      <c r="P5" s="221"/>
      <c r="Q5" s="221">
        <f>-Q4*$C$5</f>
        <v>-60296.63570919371</v>
      </c>
      <c r="R5" s="221"/>
      <c r="S5" s="221">
        <f>-S4*$C$5</f>
        <v>-61804.051601923551</v>
      </c>
      <c r="T5" s="221"/>
      <c r="U5" s="221">
        <f>-U4*$C$5</f>
        <v>-63349.152891971637</v>
      </c>
      <c r="V5" s="221"/>
      <c r="W5" s="221">
        <f>-W4*$C$5</f>
        <v>-64932.88171427093</v>
      </c>
      <c r="X5" s="221"/>
      <c r="Y5" s="221">
        <f>-Y4*$C$5</f>
        <v>-66556.203757127703</v>
      </c>
      <c r="Z5" s="221"/>
      <c r="AA5" s="221">
        <f>-AA4*$C$5</f>
        <v>-68220.108851055891</v>
      </c>
      <c r="AB5" s="221"/>
      <c r="AC5" s="221">
        <f>-AC4*$C$5</f>
        <v>-69925.611572332273</v>
      </c>
      <c r="AD5" s="221"/>
      <c r="AE5" s="221">
        <f>-AE4*$C$5</f>
        <v>-71673.751861640587</v>
      </c>
      <c r="AF5" s="221"/>
      <c r="AG5" s="221">
        <f>-AG4*$C$5</f>
        <v>-73465.595658181584</v>
      </c>
    </row>
    <row r="6" spans="1:34" s="210" customFormat="1" ht="13.8">
      <c r="A6" s="210" t="s">
        <v>837</v>
      </c>
      <c r="C6" s="237">
        <v>1.0249999999999999</v>
      </c>
      <c r="E6" s="222">
        <f>Application!Z809</f>
        <v>492576</v>
      </c>
      <c r="F6" s="222"/>
      <c r="G6" s="222">
        <f>E6*$C$6</f>
        <v>504890.39999999997</v>
      </c>
      <c r="H6" s="222"/>
      <c r="I6" s="222">
        <f>G6*$C$6</f>
        <v>517512.65999999992</v>
      </c>
      <c r="J6" s="222"/>
      <c r="K6" s="222">
        <f>I6*$C$6</f>
        <v>530450.47649999987</v>
      </c>
      <c r="L6" s="222"/>
      <c r="M6" s="222">
        <f>K6*$C$6</f>
        <v>543711.73841249978</v>
      </c>
      <c r="N6" s="222"/>
      <c r="O6" s="222">
        <f>M6*$C$6</f>
        <v>557304.53187281219</v>
      </c>
      <c r="P6" s="222"/>
      <c r="Q6" s="222">
        <f>O6*$C$6</f>
        <v>571237.14516963239</v>
      </c>
      <c r="R6" s="222"/>
      <c r="S6" s="222">
        <f>Q6*$C$6</f>
        <v>585518.07379887311</v>
      </c>
      <c r="T6" s="222"/>
      <c r="U6" s="222">
        <f>S6*$C$6</f>
        <v>600156.02564384486</v>
      </c>
      <c r="V6" s="222"/>
      <c r="W6" s="222">
        <f>U6*$C$6</f>
        <v>615159.92628494091</v>
      </c>
      <c r="X6" s="222"/>
      <c r="Y6" s="222">
        <f>W6*$C$6</f>
        <v>630538.92444206437</v>
      </c>
      <c r="Z6" s="222"/>
      <c r="AA6" s="222">
        <f>Y6*$C$6</f>
        <v>646302.39755311597</v>
      </c>
      <c r="AB6" s="222"/>
      <c r="AC6" s="222">
        <f>AA6*$C$6</f>
        <v>662459.95749194385</v>
      </c>
      <c r="AD6" s="222"/>
      <c r="AE6" s="222">
        <f>AC6*$C$6</f>
        <v>679021.45642924239</v>
      </c>
      <c r="AF6" s="222"/>
      <c r="AG6" s="222">
        <f>AE6*$C$6</f>
        <v>695996.99283997342</v>
      </c>
    </row>
    <row r="7" spans="1:34" s="210" customFormat="1" ht="13.8">
      <c r="B7" s="210" t="s">
        <v>839</v>
      </c>
      <c r="C7" s="238">
        <f>IF(Application!$D$211="Special Needs",(((0.1*Application!$T$212)+(0.05*(1-Application!$T$212)))),0.05)</f>
        <v>0.05</v>
      </c>
      <c r="E7" s="221">
        <f>-E6*$C$7</f>
        <v>-24628.800000000003</v>
      </c>
      <c r="F7" s="221"/>
      <c r="G7" s="221">
        <f>-G6*$C$7</f>
        <v>-25244.52</v>
      </c>
      <c r="H7" s="221"/>
      <c r="I7" s="221">
        <f>-I6*$C$7</f>
        <v>-25875.632999999998</v>
      </c>
      <c r="J7" s="221"/>
      <c r="K7" s="221">
        <f>-K6*$C$7</f>
        <v>-26522.523824999997</v>
      </c>
      <c r="L7" s="221"/>
      <c r="M7" s="221">
        <f>-M6*$C$7</f>
        <v>-27185.586920624992</v>
      </c>
      <c r="N7" s="221"/>
      <c r="O7" s="221">
        <f>-O6*$C$7</f>
        <v>-27865.226593640611</v>
      </c>
      <c r="P7" s="221"/>
      <c r="Q7" s="221">
        <f>-Q6*$C$7</f>
        <v>-28561.857258481621</v>
      </c>
      <c r="R7" s="221"/>
      <c r="S7" s="221">
        <f>-S6*$C$7</f>
        <v>-29275.903689943658</v>
      </c>
      <c r="T7" s="221"/>
      <c r="U7" s="221">
        <f>-U6*$C$7</f>
        <v>-30007.801282192246</v>
      </c>
      <c r="V7" s="221"/>
      <c r="W7" s="221">
        <f>-W6*$C$7</f>
        <v>-30757.996314247048</v>
      </c>
      <c r="X7" s="221"/>
      <c r="Y7" s="221">
        <f>-Y6*$C$7</f>
        <v>-31526.946222103219</v>
      </c>
      <c r="Z7" s="221"/>
      <c r="AA7" s="221">
        <f>-AA6*$C$7</f>
        <v>-32315.119877655801</v>
      </c>
      <c r="AB7" s="221"/>
      <c r="AC7" s="221">
        <f>-AC6*$C$7</f>
        <v>-33122.997874597197</v>
      </c>
      <c r="AD7" s="221"/>
      <c r="AE7" s="221">
        <f>-AE6*$C$7</f>
        <v>-33951.072821462119</v>
      </c>
      <c r="AF7" s="221"/>
      <c r="AG7" s="221">
        <f>-AG6*$C$7</f>
        <v>-34799.84964199867</v>
      </c>
    </row>
    <row r="8" spans="1:34" s="210" customFormat="1" ht="13.8">
      <c r="A8" s="210" t="s">
        <v>288</v>
      </c>
      <c r="C8" s="237">
        <v>1.0249999999999999</v>
      </c>
      <c r="E8" s="222">
        <f>Application!Z817</f>
        <v>6600</v>
      </c>
      <c r="F8" s="222"/>
      <c r="G8" s="222">
        <f>E8*$C$8</f>
        <v>6764.9999999999991</v>
      </c>
      <c r="H8" s="222"/>
      <c r="I8" s="222">
        <f>G8*$C$8</f>
        <v>6934.1249999999982</v>
      </c>
      <c r="J8" s="222"/>
      <c r="K8" s="222">
        <f>I8*$C$8</f>
        <v>7107.4781249999978</v>
      </c>
      <c r="L8" s="222"/>
      <c r="M8" s="222">
        <f>K8*$C$8</f>
        <v>7285.1650781249973</v>
      </c>
      <c r="N8" s="222"/>
      <c r="O8" s="222">
        <f>M8*$C$8</f>
        <v>7467.2942050781212</v>
      </c>
      <c r="P8" s="222"/>
      <c r="Q8" s="222">
        <f>O8*$C$8</f>
        <v>7653.9765602050738</v>
      </c>
      <c r="R8" s="222"/>
      <c r="S8" s="222">
        <f>Q8*$C$8</f>
        <v>7845.3259742102</v>
      </c>
      <c r="T8" s="222"/>
      <c r="U8" s="222">
        <f>S8*$C$8</f>
        <v>8041.4591235654543</v>
      </c>
      <c r="V8" s="222"/>
      <c r="W8" s="222">
        <f>U8*$C$8</f>
        <v>8242.4956016545893</v>
      </c>
      <c r="X8" s="222"/>
      <c r="Y8" s="222">
        <f>W8*$C$8</f>
        <v>8448.5579916959541</v>
      </c>
      <c r="Z8" s="222"/>
      <c r="AA8" s="222">
        <f>Y8*$C$8</f>
        <v>8659.7719414883522</v>
      </c>
      <c r="AB8" s="222"/>
      <c r="AC8" s="222">
        <f>AA8*$C$8</f>
        <v>8876.2662400255595</v>
      </c>
      <c r="AD8" s="222"/>
      <c r="AE8" s="222">
        <f>AC8*$C$8</f>
        <v>9098.1728960261971</v>
      </c>
      <c r="AF8" s="222"/>
      <c r="AG8" s="222">
        <f>AE8*$C$8</f>
        <v>9325.627218426851</v>
      </c>
    </row>
    <row r="9" spans="1:34" s="210" customFormat="1" ht="13.8">
      <c r="B9" s="210" t="s">
        <v>839</v>
      </c>
      <c r="C9" s="238">
        <f>IF(Application!$D$211="Special Needs",(((0.1*Application!$T$212)+(0.05*(1-Application!$T$212)))),0.05)</f>
        <v>0.05</v>
      </c>
      <c r="E9" s="221">
        <f>-E8*$C$9</f>
        <v>-330</v>
      </c>
      <c r="F9" s="221"/>
      <c r="G9" s="221">
        <f>-G8*$C$9</f>
        <v>-338.25</v>
      </c>
      <c r="H9" s="221"/>
      <c r="I9" s="221">
        <f>-I8*$C$9</f>
        <v>-346.70624999999995</v>
      </c>
      <c r="J9" s="221"/>
      <c r="K9" s="221">
        <f>-K8*$C$9</f>
        <v>-355.37390624999989</v>
      </c>
      <c r="L9" s="221"/>
      <c r="M9" s="221">
        <f>-M8*$C$9</f>
        <v>-364.25825390624988</v>
      </c>
      <c r="N9" s="221"/>
      <c r="O9" s="221">
        <f>-O8*$C$9</f>
        <v>-373.36471025390608</v>
      </c>
      <c r="P9" s="221"/>
      <c r="Q9" s="221">
        <f>-Q8*$C$9</f>
        <v>-382.69882801025369</v>
      </c>
      <c r="R9" s="221"/>
      <c r="S9" s="221">
        <f>-S8*$C$9</f>
        <v>-392.26629871051</v>
      </c>
      <c r="T9" s="221"/>
      <c r="U9" s="221">
        <f>-U8*$C$9</f>
        <v>-402.07295617827276</v>
      </c>
      <c r="V9" s="221"/>
      <c r="W9" s="221">
        <f>-W8*$C$9</f>
        <v>-412.1247800827295</v>
      </c>
      <c r="X9" s="221"/>
      <c r="Y9" s="221">
        <f>-Y8*$C$9</f>
        <v>-422.42789958479773</v>
      </c>
      <c r="Z9" s="221"/>
      <c r="AA9" s="221">
        <f>-AA8*$C$9</f>
        <v>-432.98859707441761</v>
      </c>
      <c r="AB9" s="221"/>
      <c r="AC9" s="221">
        <f>-AC8*$C$9</f>
        <v>-443.81331200127801</v>
      </c>
      <c r="AD9" s="221"/>
      <c r="AE9" s="221">
        <f>-AE8*$C$9</f>
        <v>-454.90864480130989</v>
      </c>
      <c r="AF9" s="221"/>
      <c r="AG9" s="221">
        <f>-AG8*$C$9</f>
        <v>-466.28136092134258</v>
      </c>
    </row>
    <row r="10" spans="1:34" s="210" customFormat="1" ht="13.8">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860</v>
      </c>
      <c r="C11" s="216"/>
      <c r="E11" s="223">
        <f>SUM(E4:E10)</f>
        <v>1462095.5999999999</v>
      </c>
      <c r="G11" s="223">
        <f>SUM(G4:G10)</f>
        <v>1498647.9899999998</v>
      </c>
      <c r="I11" s="223">
        <f>SUM(I4:I10)</f>
        <v>1536114.1897499997</v>
      </c>
      <c r="K11" s="223">
        <f>SUM(K4:K10)</f>
        <v>1574517.0444937493</v>
      </c>
      <c r="M11" s="223">
        <f>SUM(M4:M10)</f>
        <v>1613879.9706060931</v>
      </c>
      <c r="O11" s="223">
        <f>SUM(O4:O10)</f>
        <v>1654226.9698712451</v>
      </c>
      <c r="Q11" s="223">
        <f>SUM(Q4:Q10)</f>
        <v>1695582.6441180259</v>
      </c>
      <c r="S11" s="223">
        <f>SUM(S4:S10)</f>
        <v>1737972.2102209765</v>
      </c>
      <c r="U11" s="223">
        <f>SUM(U4:U10)</f>
        <v>1781421.5154765006</v>
      </c>
      <c r="W11" s="223">
        <f>SUM(W4:W10)</f>
        <v>1825957.0533634131</v>
      </c>
      <c r="Y11" s="223">
        <f>SUM(Y4:Y10)</f>
        <v>1871605.9796974987</v>
      </c>
      <c r="AA11" s="223">
        <f>SUM(AA4:AA10)</f>
        <v>1918396.129189936</v>
      </c>
      <c r="AC11" s="223">
        <f>SUM(AC4:AC10)</f>
        <v>1966356.0324196843</v>
      </c>
      <c r="AE11" s="223">
        <f>SUM(AE4:AE10)</f>
        <v>2015514.9332301763</v>
      </c>
      <c r="AG11" s="223">
        <f>SUM(AG4:AG10)</f>
        <v>2065902.8065609301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842</v>
      </c>
      <c r="C15" s="176"/>
      <c r="E15" s="219">
        <f>Application!W847</f>
        <v>15500</v>
      </c>
      <c r="G15" s="219">
        <f>E15*$C$14</f>
        <v>16042.499999999998</v>
      </c>
      <c r="I15" s="219">
        <f>G15*$C$14</f>
        <v>16603.987499999996</v>
      </c>
      <c r="K15" s="219">
        <f>I15*$C$14</f>
        <v>17185.127062499992</v>
      </c>
      <c r="M15" s="219">
        <f>K15*$C$14</f>
        <v>17786.606509687492</v>
      </c>
      <c r="O15" s="219">
        <f>M15*$C$14</f>
        <v>18409.137737526551</v>
      </c>
      <c r="Q15" s="219">
        <f>O15*$C$14</f>
        <v>19053.457558339978</v>
      </c>
      <c r="S15" s="219">
        <f>Q15*$C$14</f>
        <v>19720.328572881877</v>
      </c>
      <c r="U15" s="219">
        <f>S15*$C$14</f>
        <v>20410.540072932741</v>
      </c>
      <c r="W15" s="219">
        <f>U15*$C$14</f>
        <v>21124.908975485385</v>
      </c>
      <c r="Y15" s="219">
        <f>W15*$C$14</f>
        <v>21864.280789627373</v>
      </c>
      <c r="AA15" s="219">
        <f>Y15*$C$14</f>
        <v>22629.530617264329</v>
      </c>
      <c r="AC15" s="219">
        <f>AA15*$C$14</f>
        <v>23421.564188868579</v>
      </c>
      <c r="AE15" s="219">
        <f>AC15*$C$14</f>
        <v>24241.318935478976</v>
      </c>
      <c r="AG15" s="219">
        <f>AE15*$C$14</f>
        <v>25089.765098220738</v>
      </c>
    </row>
    <row r="16" spans="1:34" s="210" customFormat="1" ht="13.8">
      <c r="A16" s="210" t="s">
        <v>344</v>
      </c>
      <c r="C16" s="233"/>
      <c r="E16" s="222">
        <f>Application!W849</f>
        <v>65899</v>
      </c>
      <c r="F16" s="222"/>
      <c r="G16" s="222">
        <f t="shared" ref="G16:AG21" si="0">E16*$C$14</f>
        <v>68205.464999999997</v>
      </c>
      <c r="H16" s="222"/>
      <c r="I16" s="222">
        <f t="shared" si="0"/>
        <v>70592.656274999987</v>
      </c>
      <c r="J16" s="222"/>
      <c r="K16" s="222">
        <f t="shared" si="0"/>
        <v>73063.399244624976</v>
      </c>
      <c r="L16" s="222"/>
      <c r="M16" s="222">
        <f t="shared" si="0"/>
        <v>75620.61821818685</v>
      </c>
      <c r="N16" s="222"/>
      <c r="O16" s="222">
        <f t="shared" si="0"/>
        <v>78267.339855823389</v>
      </c>
      <c r="P16" s="222"/>
      <c r="Q16" s="222">
        <f t="shared" si="0"/>
        <v>81006.696750777206</v>
      </c>
      <c r="R16" s="222"/>
      <c r="S16" s="222">
        <f t="shared" si="0"/>
        <v>83841.931137054402</v>
      </c>
      <c r="T16" s="222"/>
      <c r="U16" s="222">
        <f t="shared" si="0"/>
        <v>86776.398726851301</v>
      </c>
      <c r="V16" s="222"/>
      <c r="W16" s="222">
        <f t="shared" si="0"/>
        <v>89813.572682291095</v>
      </c>
      <c r="X16" s="222"/>
      <c r="Y16" s="222">
        <f t="shared" si="0"/>
        <v>92957.04772617128</v>
      </c>
      <c r="Z16" s="222"/>
      <c r="AA16" s="222">
        <f t="shared" si="0"/>
        <v>96210.544396587269</v>
      </c>
      <c r="AB16" s="222"/>
      <c r="AC16" s="222">
        <f t="shared" si="0"/>
        <v>99577.913450467822</v>
      </c>
      <c r="AD16" s="222"/>
      <c r="AE16" s="222">
        <f t="shared" si="0"/>
        <v>103063.14042123419</v>
      </c>
      <c r="AF16" s="222"/>
      <c r="AG16" s="222">
        <f t="shared" si="0"/>
        <v>106670.35033597737</v>
      </c>
    </row>
    <row r="17" spans="1:33" s="210" customFormat="1" ht="13.8">
      <c r="A17" s="210" t="s">
        <v>562</v>
      </c>
      <c r="C17" s="233"/>
      <c r="E17" s="222">
        <f>Application!W855</f>
        <v>125000</v>
      </c>
      <c r="F17" s="222"/>
      <c r="G17" s="222">
        <f t="shared" si="0"/>
        <v>129374.99999999999</v>
      </c>
      <c r="H17" s="222"/>
      <c r="I17" s="222">
        <f t="shared" si="0"/>
        <v>133903.12499999997</v>
      </c>
      <c r="J17" s="222"/>
      <c r="K17" s="222">
        <f t="shared" si="0"/>
        <v>138589.73437499997</v>
      </c>
      <c r="L17" s="222"/>
      <c r="M17" s="222">
        <f t="shared" si="0"/>
        <v>143440.37507812495</v>
      </c>
      <c r="N17" s="222"/>
      <c r="O17" s="222">
        <f t="shared" si="0"/>
        <v>148460.78820585931</v>
      </c>
      <c r="P17" s="222"/>
      <c r="Q17" s="222">
        <f t="shared" si="0"/>
        <v>153656.91579306437</v>
      </c>
      <c r="R17" s="222"/>
      <c r="S17" s="222">
        <f t="shared" si="0"/>
        <v>159034.90784582161</v>
      </c>
      <c r="T17" s="222"/>
      <c r="U17" s="222">
        <f t="shared" si="0"/>
        <v>164601.12962042534</v>
      </c>
      <c r="V17" s="222"/>
      <c r="W17" s="222">
        <f t="shared" si="0"/>
        <v>170362.16915714022</v>
      </c>
      <c r="X17" s="222"/>
      <c r="Y17" s="222">
        <f t="shared" si="0"/>
        <v>176324.84507764012</v>
      </c>
      <c r="Z17" s="222"/>
      <c r="AA17" s="222">
        <f t="shared" si="0"/>
        <v>182496.2146553575</v>
      </c>
      <c r="AB17" s="222"/>
      <c r="AC17" s="222">
        <f t="shared" si="0"/>
        <v>188883.58216829499</v>
      </c>
      <c r="AD17" s="222"/>
      <c r="AE17" s="222">
        <f t="shared" si="0"/>
        <v>195494.5075441853</v>
      </c>
      <c r="AF17" s="222"/>
      <c r="AG17" s="222">
        <f t="shared" si="0"/>
        <v>202336.81530823177</v>
      </c>
    </row>
    <row r="18" spans="1:33" s="210" customFormat="1" ht="13.8">
      <c r="A18" s="210" t="s">
        <v>843</v>
      </c>
      <c r="C18" s="233"/>
      <c r="E18" s="222">
        <f>Application!W862</f>
        <v>135000</v>
      </c>
      <c r="F18" s="222"/>
      <c r="G18" s="222">
        <f t="shared" si="0"/>
        <v>139725</v>
      </c>
      <c r="H18" s="222"/>
      <c r="I18" s="222">
        <f t="shared" si="0"/>
        <v>144615.375</v>
      </c>
      <c r="J18" s="222"/>
      <c r="K18" s="222">
        <f t="shared" si="0"/>
        <v>149676.91312499999</v>
      </c>
      <c r="L18" s="222"/>
      <c r="M18" s="222">
        <f t="shared" si="0"/>
        <v>154915.60508437498</v>
      </c>
      <c r="N18" s="222"/>
      <c r="O18" s="222">
        <f t="shared" si="0"/>
        <v>160337.65126232809</v>
      </c>
      <c r="P18" s="222"/>
      <c r="Q18" s="222">
        <f t="shared" si="0"/>
        <v>165949.46905650955</v>
      </c>
      <c r="R18" s="222"/>
      <c r="S18" s="222">
        <f t="shared" si="0"/>
        <v>171757.70047348738</v>
      </c>
      <c r="T18" s="222"/>
      <c r="U18" s="222">
        <f t="shared" si="0"/>
        <v>177769.21999005941</v>
      </c>
      <c r="V18" s="222"/>
      <c r="W18" s="222">
        <f t="shared" si="0"/>
        <v>183991.14268971147</v>
      </c>
      <c r="X18" s="222"/>
      <c r="Y18" s="222">
        <f t="shared" si="0"/>
        <v>190430.83268385136</v>
      </c>
      <c r="Z18" s="222"/>
      <c r="AA18" s="222">
        <f t="shared" si="0"/>
        <v>197095.91182778616</v>
      </c>
      <c r="AB18" s="222"/>
      <c r="AC18" s="222">
        <f t="shared" si="0"/>
        <v>203994.26874175866</v>
      </c>
      <c r="AD18" s="222"/>
      <c r="AE18" s="222">
        <f t="shared" si="0"/>
        <v>211134.06814772019</v>
      </c>
      <c r="AF18" s="222"/>
      <c r="AG18" s="222">
        <f t="shared" si="0"/>
        <v>218523.76053289039</v>
      </c>
    </row>
    <row r="19" spans="1:33" s="210" customFormat="1" ht="13.8">
      <c r="A19" s="210" t="s">
        <v>155</v>
      </c>
      <c r="C19" s="233"/>
      <c r="E19" s="222">
        <f>Application!W863</f>
        <v>125000</v>
      </c>
      <c r="F19" s="222"/>
      <c r="G19" s="222">
        <f t="shared" si="0"/>
        <v>129374.99999999999</v>
      </c>
      <c r="H19" s="222"/>
      <c r="I19" s="222">
        <f t="shared" si="0"/>
        <v>133903.12499999997</v>
      </c>
      <c r="J19" s="222"/>
      <c r="K19" s="222">
        <f t="shared" si="0"/>
        <v>138589.73437499997</v>
      </c>
      <c r="L19" s="222"/>
      <c r="M19" s="222">
        <f t="shared" si="0"/>
        <v>143440.37507812495</v>
      </c>
      <c r="N19" s="222"/>
      <c r="O19" s="222">
        <f t="shared" si="0"/>
        <v>148460.78820585931</v>
      </c>
      <c r="P19" s="222"/>
      <c r="Q19" s="222">
        <f t="shared" si="0"/>
        <v>153656.91579306437</v>
      </c>
      <c r="R19" s="222"/>
      <c r="S19" s="222">
        <f t="shared" si="0"/>
        <v>159034.90784582161</v>
      </c>
      <c r="T19" s="222"/>
      <c r="U19" s="222">
        <f t="shared" si="0"/>
        <v>164601.12962042534</v>
      </c>
      <c r="V19" s="222"/>
      <c r="W19" s="222">
        <f t="shared" si="0"/>
        <v>170362.16915714022</v>
      </c>
      <c r="X19" s="222"/>
      <c r="Y19" s="222">
        <f t="shared" si="0"/>
        <v>176324.84507764012</v>
      </c>
      <c r="Z19" s="222"/>
      <c r="AA19" s="222">
        <f t="shared" si="0"/>
        <v>182496.2146553575</v>
      </c>
      <c r="AB19" s="222"/>
      <c r="AC19" s="222">
        <f t="shared" si="0"/>
        <v>188883.58216829499</v>
      </c>
      <c r="AD19" s="222"/>
      <c r="AE19" s="222">
        <f t="shared" si="0"/>
        <v>195494.5075441853</v>
      </c>
      <c r="AF19" s="222"/>
      <c r="AG19" s="222">
        <f t="shared" si="0"/>
        <v>202336.81530823177</v>
      </c>
    </row>
    <row r="20" spans="1:33" s="210" customFormat="1" ht="13.8">
      <c r="A20" s="210" t="s">
        <v>390</v>
      </c>
      <c r="C20" s="233"/>
      <c r="E20" s="222">
        <f>Application!W872</f>
        <v>65500</v>
      </c>
      <c r="F20" s="222"/>
      <c r="G20" s="222">
        <f t="shared" si="0"/>
        <v>67792.5</v>
      </c>
      <c r="H20" s="222"/>
      <c r="I20" s="222">
        <f t="shared" si="0"/>
        <v>70165.237499999988</v>
      </c>
      <c r="J20" s="222"/>
      <c r="K20" s="222">
        <f t="shared" si="0"/>
        <v>72621.020812499977</v>
      </c>
      <c r="L20" s="222"/>
      <c r="M20" s="222">
        <f t="shared" si="0"/>
        <v>75162.756540937466</v>
      </c>
      <c r="N20" s="222"/>
      <c r="O20" s="222">
        <f t="shared" si="0"/>
        <v>77793.453019870271</v>
      </c>
      <c r="P20" s="222"/>
      <c r="Q20" s="222">
        <f t="shared" si="0"/>
        <v>80516.223875565731</v>
      </c>
      <c r="R20" s="222"/>
      <c r="S20" s="222">
        <f t="shared" si="0"/>
        <v>83334.291711210521</v>
      </c>
      <c r="T20" s="222"/>
      <c r="U20" s="222">
        <f t="shared" si="0"/>
        <v>86250.991921102875</v>
      </c>
      <c r="V20" s="222"/>
      <c r="W20" s="222">
        <f t="shared" si="0"/>
        <v>89269.776638341471</v>
      </c>
      <c r="X20" s="222"/>
      <c r="Y20" s="222">
        <f t="shared" si="0"/>
        <v>92394.218820683411</v>
      </c>
      <c r="Z20" s="222"/>
      <c r="AA20" s="222">
        <f t="shared" si="0"/>
        <v>95628.016479407321</v>
      </c>
      <c r="AB20" s="222"/>
      <c r="AC20" s="222">
        <f t="shared" si="0"/>
        <v>98974.997056186563</v>
      </c>
      <c r="AD20" s="222"/>
      <c r="AE20" s="222">
        <f t="shared" si="0"/>
        <v>102439.12195315308</v>
      </c>
      <c r="AF20" s="222"/>
      <c r="AG20" s="222">
        <f t="shared" si="0"/>
        <v>106024.49122151342</v>
      </c>
    </row>
    <row r="21" spans="1:33" s="210" customFormat="1" ht="13.8">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844</v>
      </c>
      <c r="C22" s="233"/>
      <c r="E22" s="223">
        <f>SUM(E15:E21)</f>
        <v>531899</v>
      </c>
      <c r="G22" s="223">
        <f>SUM(G15:G21)</f>
        <v>550515.46499999997</v>
      </c>
      <c r="I22" s="223">
        <f>SUM(I15:I21)</f>
        <v>569783.50627499982</v>
      </c>
      <c r="K22" s="223">
        <f>SUM(K15:K21)</f>
        <v>589725.92899462488</v>
      </c>
      <c r="M22" s="223">
        <f>SUM(M15:M21)</f>
        <v>610366.33650943672</v>
      </c>
      <c r="O22" s="223">
        <f>SUM(O15:O21)</f>
        <v>631729.15828726697</v>
      </c>
      <c r="Q22" s="223">
        <f>SUM(Q15:Q21)</f>
        <v>653839.67882732116</v>
      </c>
      <c r="S22" s="223">
        <f>SUM(S15:S21)</f>
        <v>676724.06758627738</v>
      </c>
      <c r="U22" s="223">
        <f>SUM(U15:U21)</f>
        <v>700409.40995179699</v>
      </c>
      <c r="W22" s="223">
        <f>SUM(W15:W21)</f>
        <v>724923.73930010991</v>
      </c>
      <c r="Y22" s="223">
        <f>SUM(Y15:Y21)</f>
        <v>750296.07017561363</v>
      </c>
      <c r="AA22" s="223">
        <f>SUM(AA15:AA21)</f>
        <v>776556.43263176014</v>
      </c>
      <c r="AC22" s="223">
        <f>SUM(AC15:AC21)</f>
        <v>803735.90777387156</v>
      </c>
      <c r="AE22" s="223">
        <f>SUM(AE15:AE21)</f>
        <v>831866.664545957</v>
      </c>
      <c r="AG22" s="223">
        <f>SUM(AG15:AG21)</f>
        <v>860981.99780506548</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846</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3.8">
      <c r="A28" s="210" t="s">
        <v>847</v>
      </c>
      <c r="C28" s="237"/>
      <c r="E28" s="222">
        <f>Application!AC889</f>
        <v>12500</v>
      </c>
      <c r="F28" s="222"/>
      <c r="G28" s="222">
        <f>$E$28</f>
        <v>12500</v>
      </c>
      <c r="H28" s="222"/>
      <c r="I28" s="222">
        <f>$E$28</f>
        <v>12500</v>
      </c>
      <c r="J28" s="222"/>
      <c r="K28" s="222">
        <f>$E$28</f>
        <v>12500</v>
      </c>
      <c r="L28" s="222"/>
      <c r="M28" s="222">
        <f>$E$28</f>
        <v>12500</v>
      </c>
      <c r="N28" s="222"/>
      <c r="O28" s="222">
        <f>$E$28</f>
        <v>12500</v>
      </c>
      <c r="P28" s="222"/>
      <c r="Q28" s="222">
        <f>$E$28</f>
        <v>12500</v>
      </c>
      <c r="R28" s="222"/>
      <c r="S28" s="222">
        <f>$E$28</f>
        <v>12500</v>
      </c>
      <c r="T28" s="222"/>
      <c r="U28" s="222">
        <f>$E$28</f>
        <v>12500</v>
      </c>
      <c r="V28" s="222"/>
      <c r="W28" s="222">
        <f>$E$28</f>
        <v>12500</v>
      </c>
      <c r="X28" s="222"/>
      <c r="Y28" s="222">
        <f>$E$28</f>
        <v>12500</v>
      </c>
      <c r="Z28" s="222"/>
      <c r="AA28" s="222">
        <f>$E$28</f>
        <v>12500</v>
      </c>
      <c r="AB28" s="222"/>
      <c r="AC28" s="222">
        <f>$E$28</f>
        <v>12500</v>
      </c>
      <c r="AD28" s="222"/>
      <c r="AE28" s="222">
        <f>$E$28</f>
        <v>12500</v>
      </c>
      <c r="AF28" s="222"/>
      <c r="AG28" s="222">
        <f>$E$28</f>
        <v>12500</v>
      </c>
    </row>
    <row r="29" spans="1:33" s="210" customFormat="1" ht="13.8">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3.8">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8">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569399</v>
      </c>
      <c r="G35" s="223">
        <f>SUM(G22:G33)</f>
        <v>588890.46499999997</v>
      </c>
      <c r="I35" s="223">
        <f>SUM(I22:I33)</f>
        <v>609064.13127499982</v>
      </c>
      <c r="K35" s="223">
        <f>SUM(K22:K33)</f>
        <v>629943.8758696249</v>
      </c>
      <c r="M35" s="223">
        <f>SUM(M22:M33)</f>
        <v>651554.4115250617</v>
      </c>
      <c r="O35" s="223">
        <f>SUM(O22:O33)</f>
        <v>673921.31592843879</v>
      </c>
      <c r="Q35" s="223">
        <f>SUM(Q22:Q33)</f>
        <v>697071.06198593404</v>
      </c>
      <c r="S35" s="223">
        <f>SUM(S22:S33)</f>
        <v>721031.04915544169</v>
      </c>
      <c r="U35" s="223">
        <f>SUM(U22:U33)</f>
        <v>745829.63587588212</v>
      </c>
      <c r="W35" s="223">
        <f>SUM(W22:W33)</f>
        <v>771496.17313153797</v>
      </c>
      <c r="Y35" s="223">
        <f>SUM(Y22:Y33)</f>
        <v>798061.03919114161</v>
      </c>
      <c r="AA35" s="223">
        <f>SUM(AA22:AA33)</f>
        <v>825555.67556283169</v>
      </c>
      <c r="AC35" s="223">
        <f>SUM(AC22:AC33)</f>
        <v>854012.62420753052</v>
      </c>
      <c r="AE35" s="223">
        <f>SUM(AE22:AE33)</f>
        <v>883465.56605479401</v>
      </c>
      <c r="AG35" s="223">
        <f>SUM(AG22:AG33)</f>
        <v>913949.36086671182</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848</v>
      </c>
      <c r="C37" s="224"/>
      <c r="E37" s="223">
        <f>E11-E35</f>
        <v>892696.59999999986</v>
      </c>
      <c r="G37" s="223">
        <f>G11-G35</f>
        <v>909757.52499999979</v>
      </c>
      <c r="I37" s="223">
        <f>I11-I35</f>
        <v>927050.05847499985</v>
      </c>
      <c r="K37" s="223">
        <f>K11-K35</f>
        <v>944573.16862412437</v>
      </c>
      <c r="M37" s="223">
        <f>M11-M35</f>
        <v>962325.55908103136</v>
      </c>
      <c r="O37" s="223">
        <f>O11-O35</f>
        <v>980305.6539428063</v>
      </c>
      <c r="Q37" s="223">
        <f>Q11-Q35</f>
        <v>998511.58213209186</v>
      </c>
      <c r="S37" s="223">
        <f>S11-S35</f>
        <v>1016941.1610655348</v>
      </c>
      <c r="U37" s="223">
        <f>U11-U35</f>
        <v>1035591.8796006185</v>
      </c>
      <c r="W37" s="223">
        <f>W11-W35</f>
        <v>1054460.880231875</v>
      </c>
      <c r="Y37" s="223">
        <f>Y11-Y35</f>
        <v>1073544.9405063572</v>
      </c>
      <c r="AA37" s="223">
        <f>AA11-AA35</f>
        <v>1092840.4536271044</v>
      </c>
      <c r="AC37" s="223">
        <f>AC11-AC35</f>
        <v>1112343.4082121537</v>
      </c>
      <c r="AE37" s="223">
        <f>AE11-AE35</f>
        <v>1132049.3671753823</v>
      </c>
      <c r="AG37" s="223">
        <f>AG11-AG35</f>
        <v>1151953.4456942184</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Banc of CA Perm</v>
      </c>
      <c r="B40" s="226"/>
      <c r="C40" s="220"/>
      <c r="E40" s="222">
        <f>Application!AF627</f>
        <v>773773</v>
      </c>
      <c r="F40" s="222"/>
      <c r="G40" s="222">
        <f>$E$40</f>
        <v>773773</v>
      </c>
      <c r="H40" s="222"/>
      <c r="I40" s="222">
        <f>$E$40</f>
        <v>773773</v>
      </c>
      <c r="J40" s="222"/>
      <c r="K40" s="222">
        <f>$E$40</f>
        <v>773773</v>
      </c>
      <c r="L40" s="222"/>
      <c r="M40" s="222">
        <f>$E$40</f>
        <v>773773</v>
      </c>
      <c r="N40" s="222"/>
      <c r="O40" s="222">
        <f>$E$40</f>
        <v>773773</v>
      </c>
      <c r="P40" s="222"/>
      <c r="Q40" s="222">
        <f>$E$40</f>
        <v>773773</v>
      </c>
      <c r="R40" s="222"/>
      <c r="S40" s="222">
        <f>$E$40</f>
        <v>773773</v>
      </c>
      <c r="T40" s="222"/>
      <c r="U40" s="222">
        <f>$E$40</f>
        <v>773773</v>
      </c>
      <c r="V40" s="222"/>
      <c r="W40" s="222">
        <f>$E$40</f>
        <v>773773</v>
      </c>
      <c r="X40" s="222"/>
      <c r="Y40" s="222">
        <f>$E$40</f>
        <v>773773</v>
      </c>
      <c r="Z40" s="222"/>
      <c r="AA40" s="222">
        <f>$E$40</f>
        <v>773773</v>
      </c>
      <c r="AB40" s="222"/>
      <c r="AC40" s="222">
        <f>$E$40</f>
        <v>773773</v>
      </c>
      <c r="AD40" s="222"/>
      <c r="AE40" s="222">
        <f>$E$40</f>
        <v>773773</v>
      </c>
      <c r="AF40" s="222"/>
      <c r="AG40" s="222">
        <f>$E$40</f>
        <v>773773</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849</v>
      </c>
      <c r="C43" s="224"/>
      <c r="E43" s="223">
        <f>SUM(E40:E42)</f>
        <v>773773</v>
      </c>
      <c r="G43" s="223">
        <f>SUM(G40:G42)</f>
        <v>773773</v>
      </c>
      <c r="I43" s="223">
        <f>SUM(I40:I42)</f>
        <v>773773</v>
      </c>
      <c r="K43" s="223">
        <f>SUM(K40:K42)</f>
        <v>773773</v>
      </c>
      <c r="M43" s="223">
        <f>SUM(M40:M42)</f>
        <v>773773</v>
      </c>
      <c r="O43" s="223">
        <f>SUM(O40:O42)</f>
        <v>773773</v>
      </c>
      <c r="Q43" s="223">
        <f>SUM(Q40:Q42)</f>
        <v>773773</v>
      </c>
      <c r="S43" s="223">
        <f>SUM(S40:S42)</f>
        <v>773773</v>
      </c>
      <c r="U43" s="223">
        <f>SUM(U40:U42)</f>
        <v>773773</v>
      </c>
      <c r="W43" s="223">
        <f>SUM(W40:W42)</f>
        <v>773773</v>
      </c>
      <c r="Y43" s="223">
        <f>SUM(Y40:Y42)</f>
        <v>773773</v>
      </c>
      <c r="AA43" s="223">
        <f>SUM(AA40:AA42)</f>
        <v>773773</v>
      </c>
      <c r="AC43" s="223">
        <f>SUM(AC40:AC42)</f>
        <v>773773</v>
      </c>
      <c r="AE43" s="223">
        <f>SUM(AE40:AE42)</f>
        <v>773773</v>
      </c>
      <c r="AG43" s="223">
        <f>SUM(AG40:AG42)</f>
        <v>773773</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850</v>
      </c>
      <c r="C45" s="224"/>
      <c r="E45" s="223">
        <f>E37-E43</f>
        <v>118923.59999999986</v>
      </c>
      <c r="G45" s="223">
        <f>G37-G43</f>
        <v>135984.52499999979</v>
      </c>
      <c r="I45" s="223">
        <f>I37-I43</f>
        <v>153277.05847499985</v>
      </c>
      <c r="K45" s="223">
        <f>K37-K43</f>
        <v>170800.16862412437</v>
      </c>
      <c r="M45" s="223">
        <f>M37-M43</f>
        <v>188552.55908103136</v>
      </c>
      <c r="O45" s="223">
        <f>O37-O43</f>
        <v>206532.6539428063</v>
      </c>
      <c r="Q45" s="223">
        <f>Q37-Q43</f>
        <v>224738.58213209186</v>
      </c>
      <c r="S45" s="223">
        <f>S37-S43</f>
        <v>243168.1610655348</v>
      </c>
      <c r="U45" s="223">
        <f>U37-U43</f>
        <v>261818.8796006185</v>
      </c>
      <c r="W45" s="223">
        <f>W37-W43</f>
        <v>280687.88023187499</v>
      </c>
      <c r="Y45" s="223">
        <f>Y37-Y43</f>
        <v>299771.94050635723</v>
      </c>
      <c r="AA45" s="223">
        <f>AA37-AA43</f>
        <v>319067.45362710441</v>
      </c>
      <c r="AC45" s="223">
        <f>AC37-AC43</f>
        <v>338570.40821215371</v>
      </c>
      <c r="AE45" s="223">
        <f>AE37-AE43</f>
        <v>358276.36717538233</v>
      </c>
      <c r="AG45" s="223">
        <f>AG37-AG43</f>
        <v>378180.44569421839</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852</v>
      </c>
      <c r="C47" s="220"/>
      <c r="E47" s="227">
        <f>E45/(E4+E6+E8)</f>
        <v>7.7270884338889928E-2</v>
      </c>
      <c r="G47" s="227">
        <f>G45/(G4+G6+G8)</f>
        <v>8.6201229115851166E-2</v>
      </c>
      <c r="I47" s="227">
        <f>I45/(I4+I6+I8)</f>
        <v>9.4793216886400994E-2</v>
      </c>
      <c r="K47" s="227">
        <f>K45/(K4+K6+K8)</f>
        <v>0.10305392422416695</v>
      </c>
      <c r="M47" s="227">
        <f>M45/(M4+M6+M8)</f>
        <v>0.11099024362989608</v>
      </c>
      <c r="O47" s="227">
        <f>O45/(O4+O6+O8)</f>
        <v>0.11860888790909839</v>
      </c>
      <c r="Q47" s="227">
        <f>Q45/(Q4+Q6+Q8)</f>
        <v>0.1259163944418305</v>
      </c>
      <c r="S47" s="227">
        <f>S45/(S4+S6+S8)</f>
        <v>0.1329191293472328</v>
      </c>
      <c r="U47" s="227">
        <f>U45/(U4+U6+U8)</f>
        <v>0.1396232915453797</v>
      </c>
      <c r="W47" s="227">
        <f>W45/(W4+W6+W8)</f>
        <v>0.14603491671893676</v>
      </c>
      <c r="Y47" s="227">
        <f>Y45/(Y4+Y6+Y8)</f>
        <v>0.15215988117705626</v>
      </c>
      <c r="AA47" s="227">
        <f>AA45/(AA4+AA6+AA8)</f>
        <v>0.15800390562388306</v>
      </c>
      <c r="AC47" s="227">
        <f>AC45/(AC4+AC6+AC8)</f>
        <v>0.1635725588339931</v>
      </c>
      <c r="AE47" s="227">
        <f>AE45/(AE4+AE6+AE8)</f>
        <v>0.16887126123701268</v>
      </c>
      <c r="AG47" s="227">
        <f>AG45/(AG4+AG6+AG8)</f>
        <v>0.17390528841363059</v>
      </c>
    </row>
    <row r="48" spans="1:33" s="227" customFormat="1" ht="13.8">
      <c r="A48" s="227" t="s">
        <v>853</v>
      </c>
      <c r="C48" s="220"/>
      <c r="E48" s="227">
        <f>E45/E43</f>
        <v>0.15369313739300786</v>
      </c>
      <c r="G48" s="227">
        <f>G45/G43</f>
        <v>0.17574214272144387</v>
      </c>
      <c r="I48" s="227">
        <f>I45/I43</f>
        <v>0.19809047159179741</v>
      </c>
      <c r="K48" s="227">
        <f>K45/K43</f>
        <v>0.22073679053692022</v>
      </c>
      <c r="M48" s="227">
        <f>M45/M43</f>
        <v>0.24367942417353844</v>
      </c>
      <c r="O48" s="227">
        <f>O45/O43</f>
        <v>0.26691633585406355</v>
      </c>
      <c r="Q48" s="227">
        <f>Q45/Q43</f>
        <v>0.29044510745669838</v>
      </c>
      <c r="S48" s="227">
        <f>S45/S43</f>
        <v>0.31426291827904929</v>
      </c>
      <c r="U48" s="227">
        <f>U45/U43</f>
        <v>0.33836652299914638</v>
      </c>
      <c r="W48" s="227">
        <f>W45/W43</f>
        <v>0.36275222866638535</v>
      </c>
      <c r="Y48" s="227">
        <f>Y45/Y43</f>
        <v>0.38741587068346561</v>
      </c>
      <c r="AA48" s="227">
        <f>AA45/AA43</f>
        <v>0.4123527877389162</v>
      </c>
      <c r="AC48" s="227">
        <f>AC45/AC43</f>
        <v>0.43755779564827629</v>
      </c>
      <c r="AE48" s="227">
        <f>AE45/AE43</f>
        <v>0.46302516006035666</v>
      </c>
      <c r="AG48" s="227">
        <f>AG45/AG43</f>
        <v>0.48874856798339872</v>
      </c>
    </row>
    <row r="49" spans="1:34" s="228" customFormat="1" ht="13.8">
      <c r="A49" s="228" t="s">
        <v>851</v>
      </c>
      <c r="C49" s="229"/>
      <c r="E49" s="228">
        <f>E37/E43</f>
        <v>1.1536931373930079</v>
      </c>
      <c r="G49" s="228">
        <f>G37/G43</f>
        <v>1.1757421427214438</v>
      </c>
      <c r="I49" s="228">
        <f>I37/I43</f>
        <v>1.1980904715917975</v>
      </c>
      <c r="K49" s="228">
        <f>K37/K43</f>
        <v>1.2207367905369202</v>
      </c>
      <c r="M49" s="228">
        <f>M37/M43</f>
        <v>1.2436794241735385</v>
      </c>
      <c r="O49" s="228">
        <f>O37/O43</f>
        <v>1.2669163358540636</v>
      </c>
      <c r="Q49" s="228">
        <f>Q37/Q43</f>
        <v>1.2904451074566983</v>
      </c>
      <c r="S49" s="228">
        <f>S37/S43</f>
        <v>1.3142629182790493</v>
      </c>
      <c r="U49" s="228">
        <f>U37/U43</f>
        <v>1.3383665229991464</v>
      </c>
      <c r="W49" s="228">
        <f>W37/W43</f>
        <v>1.3627522286663853</v>
      </c>
      <c r="Y49" s="228">
        <f>Y37/Y43</f>
        <v>1.3874158706834656</v>
      </c>
      <c r="AA49" s="228">
        <f>AA37/AA43</f>
        <v>1.4123527877389161</v>
      </c>
      <c r="AC49" s="228">
        <f>AC37/AC43</f>
        <v>1.4375577956482763</v>
      </c>
      <c r="AE49" s="228">
        <f>AE37/AE43</f>
        <v>1.4630251600603565</v>
      </c>
      <c r="AG49" s="228">
        <f>AG37/AG43</f>
        <v>1.4887485679833987</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1185</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118923.59999999986</v>
      </c>
      <c r="G60" s="962">
        <f>G45-G58</f>
        <v>135984.52499999979</v>
      </c>
      <c r="I60" s="962">
        <f>I45-I58</f>
        <v>153277.05847499985</v>
      </c>
      <c r="K60" s="962">
        <f>K45-K58</f>
        <v>170800.16862412437</v>
      </c>
      <c r="M60" s="962">
        <f>M45-M58</f>
        <v>188552.55908103136</v>
      </c>
      <c r="O60" s="962">
        <f>O45-O58</f>
        <v>206532.6539428063</v>
      </c>
      <c r="Q60" s="962">
        <f>Q45-Q58</f>
        <v>224738.58213209186</v>
      </c>
      <c r="S60" s="962">
        <f>S45-S58</f>
        <v>243168.1610655348</v>
      </c>
      <c r="U60" s="962">
        <f>U45-U58</f>
        <v>261818.8796006185</v>
      </c>
      <c r="W60" s="962">
        <f>W45-W58</f>
        <v>280687.88023187499</v>
      </c>
      <c r="Y60" s="962">
        <f>Y45-Y58</f>
        <v>299771.94050635723</v>
      </c>
      <c r="AA60" s="962">
        <f>AA45-AA58</f>
        <v>319067.45362710441</v>
      </c>
      <c r="AC60" s="962">
        <f>AC45-AC58</f>
        <v>338570.40821215371</v>
      </c>
      <c r="AE60" s="962">
        <f>AE45-AE58</f>
        <v>358276.36717538233</v>
      </c>
      <c r="AG60" s="962">
        <f>AG45-AG58</f>
        <v>378180.44569421839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59461.79999999993</v>
      </c>
      <c r="G62" s="962">
        <f>G60*$C$62</f>
        <v>67992.262499999895</v>
      </c>
      <c r="I62" s="962">
        <f>I60*$C$62</f>
        <v>76638.529237499926</v>
      </c>
      <c r="K62" s="962">
        <f>K60*$C$62</f>
        <v>85400.084312062187</v>
      </c>
      <c r="M62" s="962">
        <f>M60*$C$62</f>
        <v>94276.279540515679</v>
      </c>
      <c r="O62" s="962">
        <f>O60*$C$62</f>
        <v>103266.32697140315</v>
      </c>
      <c r="Q62" s="962">
        <f>Q60*$C$62</f>
        <v>112369.29106604593</v>
      </c>
      <c r="S62" s="962">
        <f>S60*$C$62</f>
        <v>121584.0805327674</v>
      </c>
      <c r="U62" s="962">
        <f>U60*$C$62</f>
        <v>130909.43980030925</v>
      </c>
      <c r="W62" s="962">
        <f>W60*$C$62</f>
        <v>140343.9401159375</v>
      </c>
      <c r="Y62" s="962">
        <f>Y60*$C$62</f>
        <v>149885.97025317862</v>
      </c>
      <c r="AA62" s="962">
        <f>AA60*$C$62</f>
        <v>159533.7268135522</v>
      </c>
      <c r="AC62" s="962">
        <f>AC60*$C$62</f>
        <v>169285.20410607685</v>
      </c>
      <c r="AE62" s="962">
        <f>AE60*$C$62</f>
        <v>179138.18358769116</v>
      </c>
      <c r="AG62" s="962">
        <f>AG60*$C$62</f>
        <v>189090.22284710919</v>
      </c>
    </row>
    <row r="63" spans="1:34" s="962" customFormat="1">
      <c r="A63" s="2689" t="s">
        <v>2726</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29730.899999999965</v>
      </c>
      <c r="G66" s="960">
        <f>G60*$C$65</f>
        <v>33996.131249999948</v>
      </c>
      <c r="I66" s="960">
        <f>I60*$C$65</f>
        <v>38319.264618749963</v>
      </c>
      <c r="K66" s="960">
        <f>K60*$C$65</f>
        <v>42700.042156031093</v>
      </c>
      <c r="M66" s="960">
        <f>M60*$C$65</f>
        <v>47138.13977025784</v>
      </c>
      <c r="O66" s="960">
        <f>O60*$C$65</f>
        <v>51633.163485701574</v>
      </c>
      <c r="Q66" s="960">
        <f>Q60*$C$65</f>
        <v>56184.645533022966</v>
      </c>
      <c r="S66" s="960">
        <f>S60*$C$65</f>
        <v>60792.040266383701</v>
      </c>
      <c r="U66" s="960">
        <f>U60*$C$65</f>
        <v>65454.719900154625</v>
      </c>
      <c r="W66" s="960">
        <f>W60*$C$65</f>
        <v>70171.970057968749</v>
      </c>
      <c r="Y66" s="960">
        <f>Y60*$C$65</f>
        <v>74942.985126589308</v>
      </c>
      <c r="AA66" s="960">
        <f>AA60*$C$65</f>
        <v>79766.863406776101</v>
      </c>
      <c r="AC66" s="960">
        <f>AC60*$C$65</f>
        <v>84642.602053038427</v>
      </c>
      <c r="AE66" s="960">
        <f>AE60*$C$65</f>
        <v>89569.091793845582</v>
      </c>
      <c r="AG66" s="960">
        <f>AG60*$C$65</f>
        <v>94545.111423554597</v>
      </c>
    </row>
    <row r="67" spans="1:34" s="960" customFormat="1">
      <c r="A67" s="965"/>
      <c r="B67" s="965"/>
      <c r="C67" s="970"/>
      <c r="E67" s="964">
        <f>$E60*$C$65</f>
        <v>29730.899999999965</v>
      </c>
      <c r="G67" s="960">
        <f>G60*$C$65</f>
        <v>33996.131249999948</v>
      </c>
      <c r="I67" s="960">
        <f>I60*$C$65</f>
        <v>38319.264618749963</v>
      </c>
      <c r="K67" s="960">
        <f>K60*$C$65</f>
        <v>42700.042156031093</v>
      </c>
      <c r="M67" s="960">
        <f>M60*$C$65</f>
        <v>47138.13977025784</v>
      </c>
      <c r="O67" s="960">
        <f>O60*$C$65</f>
        <v>51633.163485701574</v>
      </c>
      <c r="Q67" s="960">
        <f>Q60*$C$65</f>
        <v>56184.645533022966</v>
      </c>
      <c r="S67" s="960">
        <f>S60*$C$65</f>
        <v>60792.040266383701</v>
      </c>
      <c r="U67" s="960">
        <f>U60*$C$65</f>
        <v>65454.719900154625</v>
      </c>
      <c r="W67" s="960">
        <f>W60*$C$65</f>
        <v>70171.970057968749</v>
      </c>
      <c r="Y67" s="960">
        <f>Y60*$C$65</f>
        <v>74942.985126589308</v>
      </c>
      <c r="AA67" s="960">
        <f>AA60*$C$65</f>
        <v>79766.863406776101</v>
      </c>
      <c r="AC67" s="960">
        <f>AC60*$C$65</f>
        <v>84642.602053038427</v>
      </c>
      <c r="AE67" s="960">
        <f>AE60*$C$65</f>
        <v>89569.091793845582</v>
      </c>
      <c r="AG67" s="960">
        <f>AG60*$C$65</f>
        <v>94545.111423554597</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59461.79999999993</v>
      </c>
      <c r="G70" s="960">
        <f>SUM(G66:G69)</f>
        <v>67992.262499999895</v>
      </c>
      <c r="I70" s="960">
        <f>SUM(I66:I69)</f>
        <v>76638.529237499926</v>
      </c>
      <c r="K70" s="960">
        <f>SUM(K66:K69)</f>
        <v>85400.084312062187</v>
      </c>
      <c r="M70" s="960">
        <f>SUM(M66:M69)</f>
        <v>94276.279540515679</v>
      </c>
      <c r="O70" s="960">
        <f>SUM(O66:O69)</f>
        <v>103266.32697140315</v>
      </c>
      <c r="Q70" s="960">
        <f>SUM(Q66:Q69)</f>
        <v>112369.29106604593</v>
      </c>
      <c r="S70" s="960">
        <f>SUM(S66:S69)</f>
        <v>121584.0805327674</v>
      </c>
      <c r="U70" s="960">
        <f>SUM(U66:U69)</f>
        <v>130909.43980030925</v>
      </c>
      <c r="W70" s="960">
        <f>SUM(W66:W69)</f>
        <v>140343.9401159375</v>
      </c>
      <c r="Y70" s="960">
        <f>SUM(Y66:Y69)</f>
        <v>149885.97025317862</v>
      </c>
      <c r="AA70" s="960">
        <f>SUM(AA66:AA69)</f>
        <v>159533.7268135522</v>
      </c>
      <c r="AC70" s="960">
        <f>SUM(AC66:AC69)</f>
        <v>169285.20410607685</v>
      </c>
      <c r="AE70" s="960">
        <f>SUM(AE66:AE69)</f>
        <v>179138.18358769116</v>
      </c>
      <c r="AG70" s="960">
        <f>SUM(AG66:AG69)</f>
        <v>189090.22284710919</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7" t="s">
        <v>1722</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3" t="s">
        <v>972</v>
      </c>
    </row>
    <row r="2" spans="1:1" ht="15.6">
      <c r="A2" s="314"/>
    </row>
    <row r="3" spans="1:1" ht="15.6">
      <c r="A3" s="315" t="s">
        <v>967</v>
      </c>
    </row>
    <row r="4" spans="1:1" ht="15.6">
      <c r="A4" s="315" t="s">
        <v>968</v>
      </c>
    </row>
    <row r="5" spans="1:1" ht="15.6">
      <c r="A5" s="315" t="s">
        <v>969</v>
      </c>
    </row>
    <row r="6" spans="1:1" ht="15.6">
      <c r="A6" s="315" t="s">
        <v>971</v>
      </c>
    </row>
    <row r="7" spans="1:1" ht="15.6">
      <c r="A7" s="315" t="s">
        <v>970</v>
      </c>
    </row>
    <row r="8" spans="1:1" ht="15.6">
      <c r="A8" s="346" t="s">
        <v>1025</v>
      </c>
    </row>
    <row r="9" spans="1:1" ht="15.6">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1625250</v>
      </c>
      <c r="C5" s="266">
        <f>'Sources and Uses Budget'!$C4</f>
        <v>1625250</v>
      </c>
      <c r="D5" s="270">
        <f>C5-B5</f>
        <v>0</v>
      </c>
      <c r="E5" s="268"/>
      <c r="F5" s="267"/>
    </row>
    <row r="6" spans="1:6" s="352" customFormat="1">
      <c r="A6" s="364" t="s">
        <v>28</v>
      </c>
      <c r="B6" s="266">
        <f>'Sources and Uses Budget'!$C5</f>
        <v>172375</v>
      </c>
      <c r="C6" s="266">
        <f>'Sources and Uses Budget'!$C5</f>
        <v>172375</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1797625</v>
      </c>
      <c r="C9" s="270">
        <f>SUM(C5:C8)</f>
        <v>1797625</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1797625</v>
      </c>
      <c r="C13" s="270">
        <f>SUM(C9+C12)</f>
        <v>1797625</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2.8">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664875</v>
      </c>
      <c r="C30" s="266">
        <f>'Sources and Uses Budget'!$C29</f>
        <v>664875</v>
      </c>
      <c r="D30" s="270">
        <f t="shared" si="0"/>
        <v>0</v>
      </c>
      <c r="E30" s="268"/>
      <c r="F30" s="267"/>
    </row>
    <row r="31" spans="1:6" s="352" customFormat="1">
      <c r="A31" s="145" t="s">
        <v>600</v>
      </c>
      <c r="B31" s="266">
        <f>'Sources and Uses Budget'!$C30</f>
        <v>24506664</v>
      </c>
      <c r="C31" s="266">
        <f>'Sources and Uses Budget'!$C30</f>
        <v>24506664</v>
      </c>
      <c r="D31" s="270">
        <f t="shared" si="0"/>
        <v>0</v>
      </c>
      <c r="E31" s="268"/>
      <c r="F31" s="267"/>
    </row>
    <row r="32" spans="1:6" s="352" customFormat="1">
      <c r="A32" s="145" t="s">
        <v>601</v>
      </c>
      <c r="B32" s="266">
        <f>'Sources and Uses Budget'!$C31</f>
        <v>1576000</v>
      </c>
      <c r="C32" s="266">
        <f>'Sources and Uses Budget'!$C31</f>
        <v>1576000</v>
      </c>
      <c r="D32" s="270">
        <f t="shared" si="0"/>
        <v>0</v>
      </c>
      <c r="E32" s="268"/>
      <c r="F32" s="267"/>
    </row>
    <row r="33" spans="1:6" s="352" customFormat="1">
      <c r="A33" s="145" t="s">
        <v>137</v>
      </c>
      <c r="B33" s="266">
        <f>'Sources and Uses Budget'!$C32</f>
        <v>443250</v>
      </c>
      <c r="C33" s="266">
        <f>'Sources and Uses Budget'!$C32</f>
        <v>443250</v>
      </c>
      <c r="D33" s="270">
        <f t="shared" si="0"/>
        <v>0</v>
      </c>
      <c r="E33" s="268"/>
      <c r="F33" s="267"/>
    </row>
    <row r="34" spans="1:6" s="352" customFormat="1">
      <c r="A34" s="145" t="s">
        <v>138</v>
      </c>
      <c r="B34" s="266">
        <f>'Sources and Uses Budget'!$C33</f>
        <v>1381989</v>
      </c>
      <c r="C34" s="266">
        <f>'Sources and Uses Budget'!$C33</f>
        <v>1381989</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44325</v>
      </c>
      <c r="C36" s="266">
        <f>'Sources and Uses Budget'!$C35</f>
        <v>44325</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28617103</v>
      </c>
      <c r="C39" s="270">
        <f>SUM(C30:C38)</f>
        <v>28617103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531900</v>
      </c>
      <c r="C41" s="266">
        <f>'Sources and Uses Budget'!$C40</f>
        <v>531900</v>
      </c>
      <c r="D41" s="270">
        <f t="shared" si="0"/>
        <v>0</v>
      </c>
      <c r="E41" s="268"/>
      <c r="F41" s="267"/>
    </row>
    <row r="42" spans="1:6" s="352" customFormat="1">
      <c r="A42" s="269" t="s">
        <v>146</v>
      </c>
      <c r="B42" s="266">
        <f>'Sources and Uses Budget'!$C41</f>
        <v>65000</v>
      </c>
      <c r="C42" s="266">
        <f>'Sources and Uses Budget'!$C41</f>
        <v>65000</v>
      </c>
      <c r="D42" s="270">
        <f t="shared" si="0"/>
        <v>0</v>
      </c>
      <c r="E42" s="268"/>
      <c r="F42" s="267"/>
    </row>
    <row r="43" spans="1:6" s="352" customFormat="1">
      <c r="A43" s="271" t="s">
        <v>147</v>
      </c>
      <c r="B43" s="270">
        <f>SUM(B41:B42)</f>
        <v>596900</v>
      </c>
      <c r="C43" s="270">
        <f>SUM(C41:C42)</f>
        <v>596900</v>
      </c>
      <c r="D43" s="270">
        <f t="shared" si="0"/>
        <v>0</v>
      </c>
      <c r="E43" s="268"/>
      <c r="F43" s="267"/>
    </row>
    <row r="44" spans="1:6" s="352" customFormat="1">
      <c r="A44" s="271" t="s">
        <v>148</v>
      </c>
      <c r="B44" s="266">
        <f>'Sources and Uses Budget'!$C43</f>
        <v>541750</v>
      </c>
      <c r="C44" s="266">
        <f>'Sources and Uses Budget'!$C43</f>
        <v>541750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2476832</v>
      </c>
      <c r="C46" s="266">
        <f>'Sources and Uses Budget'!$C45</f>
        <v>2476832</v>
      </c>
      <c r="D46" s="270">
        <f t="shared" si="0"/>
        <v>0</v>
      </c>
      <c r="E46" s="268"/>
      <c r="F46" s="267"/>
    </row>
    <row r="47" spans="1:6" s="352" customFormat="1">
      <c r="A47" s="145" t="s">
        <v>151</v>
      </c>
      <c r="B47" s="266">
        <f>'Sources and Uses Budget'!$C46</f>
        <v>212500</v>
      </c>
      <c r="C47" s="266">
        <f>'Sources and Uses Budget'!$C46</f>
        <v>212500</v>
      </c>
      <c r="D47" s="270">
        <f t="shared" si="0"/>
        <v>0</v>
      </c>
      <c r="E47" s="268"/>
      <c r="F47" s="267"/>
    </row>
    <row r="48" spans="1:6" s="352" customFormat="1" ht="12" customHeight="1">
      <c r="A48" s="186" t="s">
        <v>152</v>
      </c>
      <c r="B48" s="266">
        <f>'Sources and Uses Budget'!$C47</f>
        <v>24625</v>
      </c>
      <c r="C48" s="266">
        <f>'Sources and Uses Budget'!$C47</f>
        <v>24625</v>
      </c>
      <c r="D48" s="270">
        <f t="shared" si="0"/>
        <v>0</v>
      </c>
      <c r="E48" s="268"/>
      <c r="F48" s="267"/>
    </row>
    <row r="49" spans="1:6" s="352" customFormat="1">
      <c r="A49" s="145" t="s">
        <v>153</v>
      </c>
      <c r="B49" s="266">
        <f>'Sources and Uses Budget'!$C48</f>
        <v>367405</v>
      </c>
      <c r="C49" s="266">
        <f>'Sources and Uses Budget'!$C48</f>
        <v>367405</v>
      </c>
      <c r="D49" s="270">
        <f t="shared" si="0"/>
        <v>0</v>
      </c>
      <c r="E49" s="268"/>
      <c r="F49" s="267"/>
    </row>
    <row r="50" spans="1:6" s="352" customFormat="1">
      <c r="A50" s="145" t="s">
        <v>57</v>
      </c>
      <c r="B50" s="266">
        <f>'Sources and Uses Budget'!$C49</f>
        <v>95000</v>
      </c>
      <c r="C50" s="266">
        <f>'Sources and Uses Budget'!$C49</f>
        <v>95000</v>
      </c>
      <c r="D50" s="270">
        <f t="shared" si="0"/>
        <v>0</v>
      </c>
      <c r="E50" s="268"/>
      <c r="F50" s="267"/>
    </row>
    <row r="51" spans="1:6" s="352" customFormat="1">
      <c r="A51" s="145" t="s">
        <v>156</v>
      </c>
      <c r="B51" s="266">
        <f>'Sources and Uses Budget'!$C50</f>
        <v>54175</v>
      </c>
      <c r="C51" s="266">
        <f>'Sources and Uses Budget'!$C50</f>
        <v>54175</v>
      </c>
      <c r="D51" s="270">
        <f t="shared" si="0"/>
        <v>0</v>
      </c>
      <c r="E51" s="268"/>
      <c r="F51" s="267"/>
    </row>
    <row r="52" spans="1:6" s="352" customFormat="1">
      <c r="A52" s="283" t="s">
        <v>154</v>
      </c>
      <c r="B52" s="266">
        <f>'Sources and Uses Budget'!$C51</f>
        <v>34475</v>
      </c>
      <c r="C52" s="266">
        <f>'Sources and Uses Budget'!$C51</f>
        <v>34475</v>
      </c>
      <c r="D52" s="270">
        <f t="shared" si="0"/>
        <v>0</v>
      </c>
      <c r="E52" s="268"/>
      <c r="F52" s="267"/>
    </row>
    <row r="53" spans="1:6" s="352" customFormat="1">
      <c r="A53" s="145" t="s">
        <v>155</v>
      </c>
      <c r="B53" s="266">
        <f>'Sources and Uses Budget'!$C52</f>
        <v>379225</v>
      </c>
      <c r="C53" s="266">
        <f>'Sources and Uses Budget'!$C52</f>
        <v>379225</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3644237</v>
      </c>
      <c r="C55" s="273">
        <f>SUM(C46:C54)</f>
        <v>3644237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7500</v>
      </c>
      <c r="C57" s="266">
        <f>'Sources and Uses Budget'!$C56</f>
        <v>7500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3500</v>
      </c>
      <c r="C59" s="266">
        <f>'Sources and Uses Budget'!$C58</f>
        <v>3500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65" customHeight="1">
      <c r="A63" s="271" t="s">
        <v>301</v>
      </c>
      <c r="B63" s="270">
        <f>SUM(B57:B62)</f>
        <v>11000</v>
      </c>
      <c r="C63" s="270">
        <f>SUM(C57:C62)</f>
        <v>11000</v>
      </c>
      <c r="D63" s="270">
        <f t="shared" si="0"/>
        <v>0</v>
      </c>
      <c r="E63" s="268"/>
      <c r="F63" s="267"/>
    </row>
    <row r="64" spans="1:6" s="352" customFormat="1">
      <c r="A64" s="274" t="s">
        <v>302</v>
      </c>
      <c r="B64" s="270">
        <f>SUM(B9+B12+B14+B15+B17+B26+B28+B39+B43+B44+B55+B63)</f>
        <v>35208615</v>
      </c>
      <c r="C64" s="270">
        <f>SUM(C9+C12+C14+C15+C17+C26+C28+C39+C43+C44+C55+C63)</f>
        <v>35208615</v>
      </c>
      <c r="D64" s="270">
        <f t="shared" si="0"/>
        <v>0</v>
      </c>
      <c r="E64" s="268"/>
      <c r="F64" s="267"/>
    </row>
    <row r="65" spans="1:6" s="352" customFormat="1" ht="22.8">
      <c r="A65" s="141" t="s">
        <v>1645</v>
      </c>
      <c r="B65" s="264"/>
      <c r="C65" s="264"/>
      <c r="D65" s="264"/>
      <c r="E65" s="282"/>
      <c r="F65" s="264"/>
    </row>
    <row r="66" spans="1:6" s="352" customFormat="1">
      <c r="A66" s="145" t="s">
        <v>171</v>
      </c>
      <c r="B66" s="266">
        <f>'Sources and Uses Budget'!$C65</f>
        <v>75000</v>
      </c>
      <c r="C66" s="266">
        <f>'Sources and Uses Budget'!$C65</f>
        <v>75000</v>
      </c>
      <c r="D66" s="270">
        <f t="shared" si="0"/>
        <v>0</v>
      </c>
      <c r="E66" s="268"/>
      <c r="F66" s="267"/>
    </row>
    <row r="67" spans="1:6" s="352" customFormat="1" ht="22.8">
      <c r="A67" s="283" t="s">
        <v>1642</v>
      </c>
      <c r="B67" s="266">
        <f>'Sources and Uses Budget'!$C66</f>
        <v>0</v>
      </c>
      <c r="C67" s="266">
        <f>'Sources and Uses Budget'!$C66</f>
        <v>0</v>
      </c>
      <c r="D67" s="270"/>
      <c r="E67" s="268"/>
      <c r="F67" s="267"/>
    </row>
    <row r="68" spans="1:6" s="352" customFormat="1" ht="22.8">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75000</v>
      </c>
      <c r="C71" s="270">
        <f>SUM(C66:C70)</f>
        <v>75000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326418</v>
      </c>
      <c r="C76" s="266">
        <f>'Sources and Uses Budget'!$C75</f>
        <v>326418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326418</v>
      </c>
      <c r="C78" s="270">
        <f>SUM(C73:C77)</f>
        <v>326418</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1417028</v>
      </c>
      <c r="C80" s="266">
        <f>'Sources and Uses Budget'!$C79</f>
        <v>1417028</v>
      </c>
      <c r="D80" s="270">
        <f t="shared" si="1"/>
        <v>0</v>
      </c>
      <c r="E80" s="268"/>
      <c r="F80" s="267"/>
    </row>
    <row r="81" spans="1:6" s="352" customFormat="1">
      <c r="A81" s="510" t="s">
        <v>58</v>
      </c>
      <c r="B81" s="266">
        <f>'Sources and Uses Budget'!$C80</f>
        <v>147750</v>
      </c>
      <c r="C81" s="266">
        <f>'Sources and Uses Budget'!$C80</f>
        <v>147750</v>
      </c>
      <c r="D81" s="270">
        <f>C81-B81</f>
        <v>0</v>
      </c>
      <c r="E81" s="268"/>
      <c r="F81" s="267"/>
    </row>
    <row r="82" spans="1:6" s="352" customFormat="1">
      <c r="A82" s="271" t="s">
        <v>1210</v>
      </c>
      <c r="B82" s="270">
        <f>SUM(B80:B81)</f>
        <v>1564778</v>
      </c>
      <c r="C82" s="270">
        <f>SUM(C80:C81)</f>
        <v>1564778</v>
      </c>
      <c r="D82" s="270">
        <f t="shared" si="1"/>
        <v>0</v>
      </c>
      <c r="E82" s="268"/>
      <c r="F82" s="267"/>
    </row>
    <row r="83" spans="1:6" s="352" customFormat="1">
      <c r="A83" s="264" t="s">
        <v>766</v>
      </c>
      <c r="B83" s="264"/>
      <c r="C83" s="264"/>
      <c r="D83" s="264"/>
      <c r="E83" s="282"/>
      <c r="F83" s="264"/>
    </row>
    <row r="84" spans="1:6" s="352" customFormat="1" ht="13.65" customHeight="1">
      <c r="A84" s="269" t="s">
        <v>767</v>
      </c>
      <c r="B84" s="266">
        <f>'Sources and Uses Budget'!$C83</f>
        <v>106366</v>
      </c>
      <c r="C84" s="266">
        <f>'Sources and Uses Budget'!$C83</f>
        <v>106366</v>
      </c>
      <c r="D84" s="270">
        <f t="shared" si="1"/>
        <v>0</v>
      </c>
      <c r="E84" s="268"/>
      <c r="F84" s="267"/>
    </row>
    <row r="85" spans="1:6" s="352" customFormat="1">
      <c r="A85" s="269" t="s">
        <v>768</v>
      </c>
      <c r="B85" s="266">
        <f>'Sources and Uses Budget'!$C84</f>
        <v>7500</v>
      </c>
      <c r="C85" s="266">
        <f>'Sources and Uses Budget'!$C84</f>
        <v>7500</v>
      </c>
      <c r="D85" s="270">
        <f t="shared" si="1"/>
        <v>0</v>
      </c>
      <c r="E85" s="268"/>
      <c r="F85" s="267"/>
    </row>
    <row r="86" spans="1:6" s="352" customFormat="1">
      <c r="A86" s="269" t="s">
        <v>769</v>
      </c>
      <c r="B86" s="266">
        <f>'Sources and Uses Budget'!$C85</f>
        <v>1226325</v>
      </c>
      <c r="C86" s="266">
        <f>'Sources and Uses Budget'!$C85</f>
        <v>1226325</v>
      </c>
      <c r="D86" s="270">
        <f t="shared" si="1"/>
        <v>0</v>
      </c>
      <c r="E86" s="268"/>
      <c r="F86" s="267"/>
    </row>
    <row r="87" spans="1:6" s="352" customFormat="1">
      <c r="A87" s="269" t="s">
        <v>770</v>
      </c>
      <c r="B87" s="266">
        <f>'Sources and Uses Budget'!$C86</f>
        <v>221625</v>
      </c>
      <c r="C87" s="266">
        <f>'Sources and Uses Budget'!$C86</f>
        <v>221625</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25000</v>
      </c>
      <c r="C89" s="266">
        <f>'Sources and Uses Budget'!$C88</f>
        <v>25000</v>
      </c>
      <c r="D89" s="270">
        <f t="shared" si="1"/>
        <v>0</v>
      </c>
      <c r="E89" s="268"/>
      <c r="F89" s="267"/>
    </row>
    <row r="90" spans="1:6" s="352" customFormat="1">
      <c r="A90" s="269" t="s">
        <v>773</v>
      </c>
      <c r="B90" s="266">
        <f>'Sources and Uses Budget'!$C89</f>
        <v>75000</v>
      </c>
      <c r="C90" s="266">
        <f>'Sources and Uses Budget'!$C89</f>
        <v>75000</v>
      </c>
      <c r="D90" s="270">
        <f t="shared" si="1"/>
        <v>0</v>
      </c>
      <c r="E90" s="268"/>
      <c r="F90" s="267"/>
    </row>
    <row r="91" spans="1:6" s="352" customFormat="1">
      <c r="A91" s="269" t="s">
        <v>774</v>
      </c>
      <c r="B91" s="266">
        <f>'Sources and Uses Budget'!$C90</f>
        <v>18500</v>
      </c>
      <c r="C91" s="266">
        <f>'Sources and Uses Budget'!$C90</f>
        <v>18500</v>
      </c>
      <c r="D91" s="270">
        <f t="shared" si="1"/>
        <v>0</v>
      </c>
      <c r="E91" s="268"/>
      <c r="F91" s="267"/>
    </row>
    <row r="92" spans="1:6" s="352" customFormat="1">
      <c r="A92" s="269" t="s">
        <v>372</v>
      </c>
      <c r="B92" s="266">
        <f>'Sources and Uses Budget'!$C91</f>
        <v>35000</v>
      </c>
      <c r="C92" s="266">
        <f>'Sources and Uses Budget'!$C91</f>
        <v>35000</v>
      </c>
      <c r="D92" s="270">
        <f t="shared" si="1"/>
        <v>0</v>
      </c>
      <c r="E92" s="268"/>
      <c r="F92" s="267"/>
    </row>
    <row r="93" spans="1:6" s="352" customFormat="1">
      <c r="A93" s="510" t="s">
        <v>1212</v>
      </c>
      <c r="B93" s="266">
        <f>'Sources and Uses Budget'!$C92</f>
        <v>11500</v>
      </c>
      <c r="C93" s="266">
        <f>'Sources and Uses Budget'!$C92</f>
        <v>11500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1726816</v>
      </c>
      <c r="C97" s="270">
        <f>SUM(C84:C96)</f>
        <v>1726816</v>
      </c>
      <c r="D97" s="270">
        <f t="shared" si="1"/>
        <v>0</v>
      </c>
      <c r="E97" s="268"/>
      <c r="F97" s="267"/>
    </row>
    <row r="98" spans="1:6" s="352" customFormat="1">
      <c r="A98" s="271" t="s">
        <v>776</v>
      </c>
      <c r="B98" s="270">
        <f>SUM(B64+B71+B78+B82+B97)</f>
        <v>38901627</v>
      </c>
      <c r="C98" s="270">
        <f>SUM(C64+C71+C78+C82+C97)</f>
        <v>38901627</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5387392</v>
      </c>
      <c r="C100" s="266">
        <f>'Sources and Uses Budget'!$C99</f>
        <v>5387392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5387392</v>
      </c>
      <c r="C105" s="270">
        <f>SUM(C100:C104)</f>
        <v>5387392</v>
      </c>
      <c r="D105" s="270">
        <f t="shared" si="1"/>
        <v>0</v>
      </c>
      <c r="E105" s="268"/>
      <c r="F105" s="267"/>
    </row>
    <row r="106" spans="1:6" s="352" customFormat="1">
      <c r="A106" s="271" t="s">
        <v>781</v>
      </c>
      <c r="B106" s="273">
        <f>SUM(B98+B105)</f>
        <v>44289019</v>
      </c>
      <c r="C106" s="273">
        <f>SUM(C98+C105)</f>
        <v>44289019</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53" workbookViewId="0">
      <selection sqref="A1:J1"/>
    </sheetView>
  </sheetViews>
  <sheetFormatPr defaultColWidth="0" defaultRowHeight="12.45" customHeight="1" zeroHeight="1"/>
  <cols>
    <col min="1" max="10" width="10.6640625" style="402" customWidth="1"/>
    <col min="11" max="16384" width="8.88671875" style="402" hidden="1"/>
  </cols>
  <sheetData>
    <row r="1" spans="1:10" ht="15.6">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3.2"/>
    <row r="4" spans="1:10" ht="12.75" customHeight="1">
      <c r="A4" s="1276" t="s">
        <v>2048</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3.2"/>
    <row r="10" spans="1:10" ht="12.75" customHeight="1">
      <c r="A10" s="1280" t="s">
        <v>1875</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1874</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79" t="s">
        <v>1190</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1191</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1190</v>
      </c>
    </row>
    <row r="61" spans="1:10" ht="13.2"/>
    <row r="62" spans="1:10" ht="13.2"/>
    <row r="63" spans="1:10" ht="13.2"/>
    <row r="64" spans="1:10" ht="13.2"/>
    <row r="65" spans="1:9" ht="13.2"/>
    <row r="66" spans="1:9" ht="13.2"/>
    <row r="67" spans="1:9" ht="13.2"/>
    <row r="68" spans="1:9" ht="13.2"/>
    <row r="69" spans="1:9" ht="13.2"/>
    <row r="70" spans="1:9" ht="13.2"/>
    <row r="71" spans="1:9" ht="13.2">
      <c r="A71" s="1277" t="s">
        <v>1871</v>
      </c>
      <c r="B71" s="1277"/>
      <c r="C71" s="1277"/>
      <c r="D71" s="1277"/>
      <c r="E71" s="1277"/>
      <c r="F71" s="1277"/>
      <c r="G71" s="1277"/>
      <c r="H71" s="1277"/>
      <c r="I71" s="1277"/>
    </row>
    <row r="72" spans="1:9" ht="13.2">
      <c r="A72" s="1267" t="s">
        <v>2046</v>
      </c>
      <c r="B72" s="1267"/>
      <c r="C72" s="1267"/>
      <c r="D72" s="1267"/>
      <c r="E72" s="1267"/>
    </row>
    <row r="73" spans="1:9" ht="13.2">
      <c r="A73" s="1267" t="s">
        <v>2047</v>
      </c>
      <c r="B73" s="1267"/>
      <c r="C73" s="1267"/>
      <c r="D73" s="1267"/>
      <c r="E73" s="1267"/>
    </row>
    <row r="74" spans="1:9" ht="13.2">
      <c r="A74" s="1267" t="s">
        <v>1872</v>
      </c>
      <c r="B74" s="1267"/>
      <c r="C74" s="1267"/>
      <c r="D74" s="1267"/>
      <c r="E74" s="1267"/>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923" workbookViewId="0">
      <selection activeCell="B952" sqref="B952"/>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65"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4">
      <c r="A15" s="484"/>
      <c r="B15" s="485" t="s">
        <v>2723</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4">
      <c r="A20" s="484"/>
      <c r="B20" s="485" t="s">
        <v>2723</v>
      </c>
      <c r="D20" s="1283" t="s">
        <v>1924</v>
      </c>
      <c r="E20" s="1283"/>
      <c r="F20" s="1283"/>
      <c r="I20" s="490"/>
    </row>
    <row r="21" spans="1:9" ht="14.4">
      <c r="A21" s="484"/>
      <c r="D21" s="1283"/>
      <c r="E21" s="1283"/>
      <c r="F21" s="1283"/>
      <c r="I21" s="490"/>
    </row>
    <row r="22" spans="1:9" ht="14.4">
      <c r="A22" s="484"/>
      <c r="D22" s="392"/>
      <c r="E22" s="96" t="s">
        <v>1920</v>
      </c>
      <c r="F22" s="392"/>
      <c r="I22" s="490"/>
    </row>
    <row r="23" spans="1:9" ht="14.4">
      <c r="A23" s="484"/>
      <c r="B23" s="484"/>
      <c r="D23" s="446"/>
      <c r="I23" s="490"/>
    </row>
    <row r="24" spans="1:9" ht="14.4">
      <c r="A24" s="484"/>
      <c r="B24" s="485" t="s">
        <v>2724</v>
      </c>
      <c r="D24" s="1283" t="s">
        <v>1092</v>
      </c>
      <c r="E24" s="1283"/>
      <c r="F24" s="1283"/>
      <c r="I24" s="490"/>
    </row>
    <row r="25" spans="1:9" ht="14.4">
      <c r="A25" s="484"/>
      <c r="B25" s="484"/>
      <c r="D25" s="1283"/>
      <c r="E25" s="1283"/>
      <c r="F25" s="1283"/>
      <c r="I25" s="490"/>
    </row>
    <row r="26" spans="1:9">
      <c r="I26" s="490"/>
    </row>
    <row r="27" spans="1:9" ht="14.4">
      <c r="A27" s="484"/>
      <c r="B27" s="485" t="s">
        <v>2723</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2724</v>
      </c>
      <c r="D33" s="1283" t="s">
        <v>2050</v>
      </c>
      <c r="E33" s="1283"/>
      <c r="F33" s="1283"/>
      <c r="I33" s="490"/>
    </row>
    <row r="34" spans="1:9">
      <c r="D34" s="1283"/>
      <c r="E34" s="1283"/>
      <c r="F34" s="1283"/>
      <c r="I34" s="490"/>
    </row>
    <row r="35" spans="1:9" ht="14.4">
      <c r="A35" s="484"/>
      <c r="B35" s="484"/>
      <c r="D35" s="447"/>
      <c r="I35" s="490"/>
    </row>
    <row r="36" spans="1:9" ht="14.4" customHeight="1">
      <c r="A36" s="484"/>
      <c r="B36" s="485" t="s">
        <v>2724</v>
      </c>
      <c r="D36" s="1283" t="s">
        <v>1215</v>
      </c>
      <c r="E36" s="1283"/>
      <c r="F36" s="1283"/>
      <c r="I36" s="490"/>
    </row>
    <row r="37" spans="1:9" ht="14.4">
      <c r="A37" s="484"/>
      <c r="B37" s="484"/>
      <c r="D37" s="1283"/>
      <c r="E37" s="1283"/>
      <c r="F37" s="1283"/>
      <c r="I37" s="490"/>
    </row>
    <row r="38" spans="1:9" ht="14.4">
      <c r="A38" s="484"/>
      <c r="B38" s="484"/>
      <c r="D38" s="1283"/>
      <c r="E38" s="1283"/>
      <c r="F38" s="1283"/>
      <c r="I38" s="490"/>
    </row>
    <row r="39" spans="1:9" ht="14.4">
      <c r="A39" s="484"/>
      <c r="B39" s="484"/>
      <c r="D39" s="1283"/>
      <c r="E39" s="1283"/>
      <c r="F39" s="1283"/>
      <c r="I39" s="490"/>
    </row>
    <row r="40" spans="1:9" ht="14.4">
      <c r="A40" s="484"/>
      <c r="B40" s="484"/>
      <c r="I40" s="490"/>
    </row>
    <row r="41" spans="1:9" ht="14.4">
      <c r="A41" s="484"/>
      <c r="B41" s="485" t="s">
        <v>2724</v>
      </c>
      <c r="D41" s="1283" t="s">
        <v>1093</v>
      </c>
      <c r="E41" s="1283"/>
      <c r="F41" s="1283"/>
      <c r="I41" s="490"/>
    </row>
    <row r="42" spans="1:9" ht="14.4">
      <c r="A42" s="484"/>
      <c r="B42" s="484"/>
      <c r="D42" s="1283"/>
      <c r="E42" s="1283"/>
      <c r="F42" s="1283"/>
      <c r="I42" s="490"/>
    </row>
    <row r="43" spans="1:9" ht="14.4">
      <c r="A43" s="484"/>
      <c r="B43" s="484"/>
      <c r="D43" s="1283"/>
      <c r="E43" s="1283"/>
      <c r="F43" s="1283"/>
      <c r="I43" s="490"/>
    </row>
    <row r="44" spans="1:9" ht="14.4">
      <c r="A44" s="484"/>
      <c r="B44" s="484"/>
      <c r="D44" s="1283"/>
      <c r="E44" s="1283"/>
      <c r="F44" s="1283"/>
      <c r="I44" s="490"/>
    </row>
    <row r="45" spans="1:9" ht="14.4">
      <c r="A45" s="484"/>
      <c r="B45" s="484"/>
      <c r="D45" s="1283"/>
      <c r="E45" s="1283"/>
      <c r="F45" s="1283"/>
      <c r="I45" s="490"/>
    </row>
    <row r="46" spans="1:9" ht="14.4">
      <c r="A46" s="484"/>
      <c r="B46" s="484"/>
      <c r="D46" s="445"/>
      <c r="E46" s="445"/>
      <c r="F46" s="445"/>
      <c r="I46" s="490"/>
    </row>
    <row r="47" spans="1:9" ht="14.4">
      <c r="A47" s="484"/>
      <c r="B47" s="485" t="s">
        <v>2724</v>
      </c>
      <c r="D47" s="1283" t="s">
        <v>1094</v>
      </c>
      <c r="E47" s="1283"/>
      <c r="F47" s="1283"/>
      <c r="I47" s="490"/>
    </row>
    <row r="48" spans="1:9" ht="14.4">
      <c r="A48" s="484"/>
      <c r="B48" s="484"/>
      <c r="D48" s="1283"/>
      <c r="E48" s="1283"/>
      <c r="F48" s="1283"/>
      <c r="I48" s="490"/>
    </row>
    <row r="49" spans="1:9" ht="14.4">
      <c r="A49" s="484"/>
      <c r="B49" s="484"/>
      <c r="D49" s="1283"/>
      <c r="E49" s="1283"/>
      <c r="F49" s="1283"/>
      <c r="I49" s="490"/>
    </row>
    <row r="50" spans="1:9" ht="23.25" customHeight="1">
      <c r="A50" s="484"/>
      <c r="B50" s="484"/>
      <c r="D50" s="1283"/>
      <c r="E50" s="1283"/>
      <c r="F50" s="1283"/>
      <c r="I50" s="490"/>
    </row>
    <row r="51" spans="1:9" ht="14.4">
      <c r="A51" s="484"/>
      <c r="B51" s="484"/>
      <c r="D51" s="446"/>
      <c r="I51" s="490"/>
    </row>
    <row r="52" spans="1:9" ht="14.4" customHeight="1">
      <c r="A52" s="484"/>
      <c r="B52" s="485" t="s">
        <v>2724</v>
      </c>
      <c r="D52" s="1283" t="s">
        <v>1095</v>
      </c>
      <c r="E52" s="1283"/>
      <c r="F52" s="1283"/>
      <c r="I52" s="490"/>
    </row>
    <row r="53" spans="1:9" ht="14.4">
      <c r="A53" s="484"/>
      <c r="B53" s="484"/>
      <c r="D53" s="1283"/>
      <c r="E53" s="1283"/>
      <c r="F53" s="1283"/>
      <c r="I53" s="490"/>
    </row>
    <row r="54" spans="1:9" ht="14.4">
      <c r="A54" s="484"/>
      <c r="B54" s="484"/>
      <c r="D54" s="1283"/>
      <c r="E54" s="1283"/>
      <c r="F54" s="1283"/>
      <c r="I54" s="490"/>
    </row>
    <row r="55" spans="1:9" ht="14.4">
      <c r="A55" s="484"/>
      <c r="B55" s="484"/>
      <c r="I55" s="490"/>
    </row>
    <row r="56" spans="1:9" ht="14.4">
      <c r="A56" s="484"/>
      <c r="B56" s="485" t="s">
        <v>2723</v>
      </c>
      <c r="D56" s="1307" t="s">
        <v>1096</v>
      </c>
      <c r="E56" s="1307"/>
      <c r="F56" s="1307"/>
      <c r="I56" s="490"/>
    </row>
    <row r="57" spans="1:9" ht="14.4">
      <c r="A57" s="484"/>
      <c r="B57" s="484"/>
      <c r="D57" s="1307"/>
      <c r="E57" s="1307"/>
      <c r="F57" s="1307"/>
      <c r="I57" s="490"/>
    </row>
    <row r="58" spans="1:9" ht="14.4">
      <c r="A58" s="484"/>
      <c r="B58" s="484"/>
      <c r="D58" s="392" t="s">
        <v>1922</v>
      </c>
      <c r="E58" s="445"/>
      <c r="F58" s="445"/>
      <c r="I58" s="490"/>
    </row>
    <row r="59" spans="1:9" ht="14.4">
      <c r="A59" s="484"/>
      <c r="B59" s="484"/>
      <c r="D59" s="445"/>
      <c r="E59" s="312" t="s">
        <v>1921</v>
      </c>
      <c r="F59" s="445"/>
      <c r="I59" s="490"/>
    </row>
    <row r="60" spans="1:9">
      <c r="D60" s="447"/>
      <c r="I60" s="490"/>
    </row>
    <row r="61" spans="1:9" ht="14.4">
      <c r="A61" s="484"/>
      <c r="B61" s="485" t="s">
        <v>2724</v>
      </c>
      <c r="D61" s="1283" t="s">
        <v>1097</v>
      </c>
      <c r="E61" s="1283"/>
      <c r="F61" s="1283"/>
      <c r="I61" s="490"/>
    </row>
    <row r="62" spans="1:9">
      <c r="D62" s="1283"/>
      <c r="E62" s="1283"/>
      <c r="F62" s="1283"/>
      <c r="I62" s="490"/>
    </row>
    <row r="63" spans="1:9">
      <c r="D63" s="1283"/>
      <c r="E63" s="1283"/>
      <c r="F63" s="1283"/>
      <c r="I63" s="490"/>
    </row>
    <row r="64" spans="1:9">
      <c r="I64" s="490"/>
    </row>
    <row r="65" spans="1:9" ht="14.4">
      <c r="A65" s="484"/>
      <c r="B65" s="485" t="s">
        <v>2724</v>
      </c>
      <c r="D65" s="1283" t="s">
        <v>1098</v>
      </c>
      <c r="E65" s="1283"/>
      <c r="F65" s="1283"/>
      <c r="I65" s="490"/>
    </row>
    <row r="66" spans="1:9">
      <c r="D66" s="1283"/>
      <c r="E66" s="1283"/>
      <c r="F66" s="1283"/>
      <c r="I66" s="490"/>
    </row>
    <row r="67" spans="1:9">
      <c r="I67" s="490"/>
    </row>
    <row r="68" spans="1:9" ht="14.4">
      <c r="A68" s="484"/>
      <c r="B68" s="485" t="s">
        <v>2724</v>
      </c>
      <c r="D68" s="1283" t="s">
        <v>1099</v>
      </c>
      <c r="E68" s="1283"/>
      <c r="F68" s="1283"/>
      <c r="I68" s="490"/>
    </row>
    <row r="69" spans="1:9">
      <c r="D69" s="1283"/>
      <c r="E69" s="1283"/>
      <c r="F69" s="1283"/>
      <c r="I69" s="490"/>
    </row>
    <row r="70" spans="1:9">
      <c r="D70" s="1283"/>
      <c r="E70" s="1283"/>
      <c r="F70" s="1283"/>
      <c r="I70" s="490"/>
    </row>
    <row r="71" spans="1:9">
      <c r="I71" s="490"/>
    </row>
    <row r="72" spans="1:9" ht="14.4">
      <c r="A72" s="484"/>
      <c r="B72" s="485" t="s">
        <v>2724</v>
      </c>
      <c r="D72" s="1283" t="s">
        <v>1100</v>
      </c>
      <c r="E72" s="1283"/>
      <c r="F72" s="1283"/>
      <c r="I72" s="490"/>
    </row>
    <row r="73" spans="1:9">
      <c r="D73" s="1283"/>
      <c r="E73" s="1283"/>
      <c r="F73" s="1283"/>
      <c r="I73" s="490"/>
    </row>
    <row r="74" spans="1:9" ht="14.4">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65" customHeight="1">
      <c r="A80" s="484"/>
      <c r="B80" s="485" t="s">
        <v>2723</v>
      </c>
      <c r="D80" s="1283" t="s">
        <v>1246</v>
      </c>
      <c r="E80" s="1283"/>
      <c r="F80" s="1283"/>
      <c r="I80" s="490"/>
    </row>
    <row r="81" spans="1:9" ht="14.4">
      <c r="A81" s="484"/>
      <c r="B81" s="484"/>
      <c r="D81" s="1283"/>
      <c r="E81" s="1283"/>
      <c r="F81" s="1283"/>
      <c r="I81" s="490"/>
    </row>
    <row r="82" spans="1:9" ht="14.4">
      <c r="A82" s="484"/>
      <c r="B82" s="484"/>
      <c r="D82" s="1283"/>
      <c r="E82" s="1283"/>
      <c r="F82" s="1283"/>
      <c r="I82" s="490"/>
    </row>
    <row r="83" spans="1:9" ht="14.4">
      <c r="A83" s="484"/>
      <c r="B83" s="484"/>
      <c r="D83" s="1283"/>
      <c r="E83" s="1283"/>
      <c r="F83" s="1283"/>
      <c r="I83" s="490"/>
    </row>
    <row r="84" spans="1:9" ht="14.4">
      <c r="A84" s="484"/>
      <c r="B84" s="484"/>
      <c r="D84" s="1283"/>
      <c r="E84" s="1283"/>
      <c r="F84" s="1283"/>
      <c r="I84" s="490"/>
    </row>
    <row r="85" spans="1:9" ht="14.4">
      <c r="A85" s="484"/>
      <c r="B85" s="484"/>
      <c r="D85" s="1283"/>
      <c r="E85" s="1283"/>
      <c r="F85" s="1283"/>
      <c r="I85" s="490"/>
    </row>
    <row r="86" spans="1:9" ht="14.4">
      <c r="A86" s="484"/>
      <c r="B86" s="484"/>
      <c r="D86" s="1283"/>
      <c r="E86" s="1283"/>
      <c r="F86" s="1283"/>
      <c r="I86" s="490"/>
    </row>
    <row r="87" spans="1:9" ht="14.4">
      <c r="A87" s="484"/>
      <c r="B87" s="484"/>
      <c r="D87" s="1283"/>
      <c r="E87" s="1283"/>
      <c r="F87" s="1283"/>
      <c r="I87" s="490"/>
    </row>
    <row r="88" spans="1:9" ht="14.4">
      <c r="A88" s="484"/>
      <c r="B88" s="484"/>
      <c r="D88" s="385"/>
      <c r="E88" s="385"/>
      <c r="F88" s="385"/>
      <c r="I88" s="490"/>
    </row>
    <row r="89" spans="1:9" ht="15" customHeight="1">
      <c r="A89" s="484"/>
      <c r="B89" s="485" t="s">
        <v>2723</v>
      </c>
      <c r="D89" s="1283" t="s">
        <v>1743</v>
      </c>
      <c r="E89" s="1283"/>
      <c r="F89" s="1283"/>
      <c r="I89" s="490"/>
    </row>
    <row r="90" spans="1:9" ht="14.4">
      <c r="A90" s="484"/>
      <c r="B90" s="484"/>
      <c r="D90" s="1283"/>
      <c r="E90" s="1283"/>
      <c r="F90" s="1283"/>
      <c r="I90" s="490"/>
    </row>
    <row r="91" spans="1:9" ht="14.4">
      <c r="A91" s="484"/>
      <c r="B91" s="484"/>
      <c r="D91" s="445"/>
      <c r="E91" s="445"/>
      <c r="F91" s="445"/>
      <c r="I91" s="490"/>
    </row>
    <row r="92" spans="1:9" ht="14.4">
      <c r="A92" s="484"/>
      <c r="B92" s="485" t="s">
        <v>2723</v>
      </c>
      <c r="D92" s="1283" t="s">
        <v>1746</v>
      </c>
      <c r="E92" s="1283"/>
      <c r="F92" s="1283"/>
      <c r="I92" s="490"/>
    </row>
    <row r="93" spans="1:9" ht="14.4">
      <c r="A93" s="484"/>
      <c r="B93" s="484"/>
      <c r="D93" s="1283"/>
      <c r="E93" s="1283"/>
      <c r="F93" s="1283"/>
      <c r="I93" s="490"/>
    </row>
    <row r="94" spans="1:9" ht="14.4">
      <c r="A94" s="484"/>
      <c r="B94" s="484"/>
      <c r="D94" s="1283"/>
      <c r="E94" s="1283"/>
      <c r="F94" s="1283"/>
      <c r="I94" s="490"/>
    </row>
    <row r="95" spans="1:9" ht="14.4">
      <c r="A95" s="484"/>
      <c r="B95" s="484"/>
      <c r="D95" s="445"/>
      <c r="E95" s="445"/>
      <c r="F95" s="445"/>
      <c r="I95" s="490"/>
    </row>
    <row r="96" spans="1:9" ht="14.4">
      <c r="A96" s="484"/>
      <c r="B96" s="485" t="s">
        <v>2723</v>
      </c>
      <c r="D96" s="1283" t="s">
        <v>1745</v>
      </c>
      <c r="E96" s="1283"/>
      <c r="F96" s="1283"/>
      <c r="I96" s="490"/>
    </row>
    <row r="97" spans="1:9" s="987" customFormat="1" ht="14.4">
      <c r="A97" s="985"/>
      <c r="B97" s="985"/>
      <c r="C97" s="986"/>
      <c r="D97" s="1283"/>
      <c r="E97" s="1283"/>
      <c r="F97" s="1283"/>
      <c r="I97" s="1154"/>
    </row>
    <row r="98" spans="1:9" ht="14.4">
      <c r="A98" s="484"/>
      <c r="B98" s="484"/>
      <c r="D98" s="392"/>
      <c r="E98" s="312" t="s">
        <v>1925</v>
      </c>
      <c r="F98" s="445"/>
      <c r="I98" s="490"/>
    </row>
    <row r="99" spans="1:9" ht="14.4">
      <c r="A99" s="484"/>
      <c r="B99" s="484"/>
      <c r="D99" s="385"/>
      <c r="E99" s="385"/>
      <c r="F99" s="385"/>
      <c r="I99" s="490"/>
    </row>
    <row r="100" spans="1:9" ht="14.4">
      <c r="A100" s="484"/>
      <c r="B100" s="485" t="s">
        <v>2724</v>
      </c>
      <c r="D100" s="1283" t="s">
        <v>1744</v>
      </c>
      <c r="E100" s="1283"/>
      <c r="F100" s="1283"/>
      <c r="I100" s="490"/>
    </row>
    <row r="101" spans="1:9" ht="14.4">
      <c r="A101" s="484"/>
      <c r="B101" s="484"/>
      <c r="D101" s="1283"/>
      <c r="E101" s="1283"/>
      <c r="F101" s="1283"/>
      <c r="I101" s="490"/>
    </row>
    <row r="102" spans="1:9" ht="14.4">
      <c r="A102" s="484"/>
      <c r="B102" s="484"/>
      <c r="D102" s="445"/>
      <c r="E102" s="445"/>
      <c r="F102" s="445"/>
      <c r="I102" s="490"/>
    </row>
    <row r="103" spans="1:9" ht="14.4" customHeight="1">
      <c r="A103" s="484"/>
      <c r="B103" s="485" t="s">
        <v>2724</v>
      </c>
      <c r="D103" s="1283" t="s">
        <v>1195</v>
      </c>
      <c r="E103" s="1283"/>
      <c r="F103" s="1283"/>
      <c r="I103" s="490"/>
    </row>
    <row r="104" spans="1:9" ht="14.4">
      <c r="A104" s="484"/>
      <c r="B104" s="484"/>
      <c r="D104" s="1283"/>
      <c r="E104" s="1283"/>
      <c r="F104" s="1283"/>
      <c r="I104" s="490"/>
    </row>
    <row r="105" spans="1:9" ht="14.4">
      <c r="A105" s="484"/>
      <c r="B105" s="484"/>
      <c r="D105" s="1283"/>
      <c r="E105" s="1283"/>
      <c r="F105" s="1283"/>
      <c r="I105" s="490"/>
    </row>
    <row r="106" spans="1:9" ht="14.4">
      <c r="A106" s="484"/>
      <c r="B106" s="484"/>
      <c r="D106" s="1283"/>
      <c r="E106" s="1283"/>
      <c r="F106" s="1283"/>
      <c r="I106" s="490"/>
    </row>
    <row r="107" spans="1:9" ht="14.4">
      <c r="A107" s="484"/>
      <c r="B107" s="484"/>
      <c r="D107" s="1283"/>
      <c r="E107" s="1283"/>
      <c r="F107" s="1283"/>
      <c r="I107" s="490"/>
    </row>
    <row r="108" spans="1:9" ht="14.4">
      <c r="A108" s="484"/>
      <c r="B108" s="484"/>
      <c r="D108" s="1283"/>
      <c r="E108" s="1283"/>
      <c r="F108" s="1283"/>
      <c r="I108" s="490"/>
    </row>
    <row r="109" spans="1:9" ht="14.4">
      <c r="A109" s="484"/>
      <c r="B109" s="484"/>
      <c r="D109" s="1283"/>
      <c r="E109" s="1283"/>
      <c r="F109" s="1283"/>
      <c r="I109" s="490"/>
    </row>
    <row r="110" spans="1:9" ht="14.4">
      <c r="A110" s="484"/>
      <c r="B110" s="484"/>
      <c r="D110" s="1283"/>
      <c r="E110" s="1283"/>
      <c r="F110" s="1283"/>
      <c r="I110" s="490"/>
    </row>
    <row r="111" spans="1:9" ht="14.4">
      <c r="A111" s="484"/>
      <c r="B111" s="484"/>
      <c r="D111" s="1283"/>
      <c r="E111" s="1283"/>
      <c r="F111" s="1283"/>
      <c r="I111" s="490"/>
    </row>
    <row r="112" spans="1:9" ht="14.4">
      <c r="A112" s="484"/>
      <c r="B112" s="484"/>
      <c r="D112" s="1283"/>
      <c r="E112" s="1283"/>
      <c r="F112" s="1283"/>
      <c r="I112" s="490"/>
    </row>
    <row r="113" spans="1:9" ht="14.4">
      <c r="A113" s="484"/>
      <c r="B113" s="484"/>
      <c r="D113" s="1283"/>
      <c r="E113" s="1283"/>
      <c r="F113" s="1283"/>
      <c r="I113" s="490"/>
    </row>
    <row r="114" spans="1:9" ht="14.4">
      <c r="A114" s="484"/>
      <c r="B114" s="484"/>
      <c r="D114" s="1283"/>
      <c r="E114" s="1283"/>
      <c r="F114" s="1283"/>
      <c r="I114" s="490"/>
    </row>
    <row r="115" spans="1:9" ht="14.4">
      <c r="A115" s="484"/>
      <c r="B115" s="484"/>
      <c r="D115" s="1283"/>
      <c r="E115" s="1283"/>
      <c r="F115" s="1283"/>
      <c r="I115" s="490"/>
    </row>
    <row r="116" spans="1:9" ht="14.4">
      <c r="A116" s="484"/>
      <c r="B116" s="484"/>
      <c r="D116" s="1283"/>
      <c r="E116" s="1283"/>
      <c r="F116" s="1283"/>
      <c r="I116" s="490"/>
    </row>
    <row r="117" spans="1:9" ht="14.4">
      <c r="A117" s="484"/>
      <c r="B117" s="484"/>
      <c r="D117" s="1283"/>
      <c r="E117" s="1283"/>
      <c r="F117" s="1283"/>
      <c r="I117" s="490"/>
    </row>
    <row r="118" spans="1:9" ht="14.4">
      <c r="A118" s="484"/>
      <c r="B118" s="484"/>
      <c r="D118" s="524"/>
      <c r="E118" s="524"/>
      <c r="F118" s="524"/>
      <c r="I118" s="490"/>
    </row>
    <row r="119" spans="1:9" ht="14.25" customHeight="1">
      <c r="A119" s="484"/>
      <c r="B119" s="485" t="s">
        <v>2724</v>
      </c>
      <c r="D119" s="1303" t="s">
        <v>1104</v>
      </c>
      <c r="E119" s="1303"/>
      <c r="F119" s="1303"/>
      <c r="I119" s="490"/>
    </row>
    <row r="120" spans="1:9" ht="14.4">
      <c r="A120" s="484"/>
      <c r="B120" s="484"/>
      <c r="D120" s="1303"/>
      <c r="E120" s="1303"/>
      <c r="F120" s="1303"/>
      <c r="I120" s="490"/>
    </row>
    <row r="121" spans="1:9" ht="14.4">
      <c r="A121" s="484"/>
      <c r="B121" s="484"/>
      <c r="D121" s="1303"/>
      <c r="E121" s="1303"/>
      <c r="F121" s="1303"/>
      <c r="I121" s="490"/>
    </row>
    <row r="122" spans="1:9" ht="14.4">
      <c r="A122" s="484"/>
      <c r="B122" s="484"/>
      <c r="D122" s="1303"/>
      <c r="E122" s="1303"/>
      <c r="F122" s="1303"/>
      <c r="I122" s="490"/>
    </row>
    <row r="123" spans="1:9" ht="14.4">
      <c r="A123" s="484"/>
      <c r="B123" s="484"/>
      <c r="D123" s="1303"/>
      <c r="E123" s="1303"/>
      <c r="F123" s="1303"/>
      <c r="I123" s="490"/>
    </row>
    <row r="124" spans="1:9" ht="14.4">
      <c r="A124" s="484"/>
      <c r="B124" s="484"/>
      <c r="D124" s="1303"/>
      <c r="E124" s="1303"/>
      <c r="F124" s="1303"/>
      <c r="I124" s="490"/>
    </row>
    <row r="125" spans="1:9" ht="14.4">
      <c r="A125" s="484"/>
      <c r="B125" s="484"/>
      <c r="D125" s="1303"/>
      <c r="E125" s="1303"/>
      <c r="F125" s="1303"/>
      <c r="I125" s="490"/>
    </row>
    <row r="126" spans="1:9" ht="14.4">
      <c r="A126" s="484"/>
      <c r="B126" s="484"/>
      <c r="D126" s="1303"/>
      <c r="E126" s="1303"/>
      <c r="F126" s="1303"/>
      <c r="I126" s="490"/>
    </row>
    <row r="127" spans="1:9">
      <c r="C127" s="402"/>
      <c r="D127" s="525"/>
      <c r="E127" s="525"/>
      <c r="F127" s="525"/>
      <c r="I127" s="490"/>
    </row>
    <row r="128" spans="1:9" ht="14.4">
      <c r="A128" s="484"/>
      <c r="B128" s="485" t="s">
        <v>2723</v>
      </c>
      <c r="C128" s="402"/>
      <c r="D128" s="1303" t="s">
        <v>2051</v>
      </c>
      <c r="E128" s="1303"/>
      <c r="F128" s="1303"/>
      <c r="I128" s="490"/>
    </row>
    <row r="129" spans="1:9" ht="14.4">
      <c r="A129" s="484"/>
      <c r="B129" s="484"/>
      <c r="C129" s="402"/>
      <c r="D129" s="1303"/>
      <c r="E129" s="1303"/>
      <c r="F129" s="1303"/>
      <c r="I129" s="490"/>
    </row>
    <row r="130" spans="1:9">
      <c r="I130" s="490"/>
    </row>
    <row r="131" spans="1:9" ht="14.4">
      <c r="A131" s="484"/>
      <c r="B131" s="485" t="s">
        <v>2723</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4">
      <c r="A137" s="484"/>
      <c r="B137" s="485" t="s">
        <v>2723</v>
      </c>
      <c r="D137" s="1283" t="s">
        <v>1106</v>
      </c>
      <c r="E137" s="1283"/>
      <c r="F137" s="1283"/>
      <c r="I137" s="490"/>
    </row>
    <row r="138" spans="1:9" s="417" customFormat="1" ht="13.65" customHeight="1">
      <c r="A138" s="488"/>
      <c r="B138" s="488"/>
      <c r="C138" s="488"/>
      <c r="D138" s="1283"/>
      <c r="E138" s="1283"/>
      <c r="F138" s="1283"/>
      <c r="I138" s="1155"/>
    </row>
    <row r="139" spans="1:9" ht="13.65" customHeight="1">
      <c r="D139" s="1283"/>
      <c r="E139" s="1283"/>
      <c r="F139" s="1283"/>
      <c r="I139" s="490"/>
    </row>
    <row r="140" spans="1:9" ht="13.65" customHeight="1">
      <c r="D140" s="1283"/>
      <c r="E140" s="1283"/>
      <c r="F140" s="1283"/>
      <c r="I140" s="490"/>
    </row>
    <row r="141" spans="1:9" ht="13.65" customHeight="1">
      <c r="D141" s="1283"/>
      <c r="E141" s="1283"/>
      <c r="F141" s="1283"/>
      <c r="I141" s="490"/>
    </row>
    <row r="142" spans="1:9" ht="13.65" customHeight="1">
      <c r="A142" s="489"/>
      <c r="B142" s="489"/>
      <c r="D142" s="1283"/>
      <c r="E142" s="1283"/>
      <c r="F142" s="1283"/>
      <c r="I142" s="490"/>
    </row>
    <row r="143" spans="1:9" ht="13.65" customHeight="1">
      <c r="D143" s="1283"/>
      <c r="E143" s="1283"/>
      <c r="F143" s="1283"/>
      <c r="I143" s="490"/>
    </row>
    <row r="144" spans="1:9" ht="13.65" customHeight="1">
      <c r="D144" s="1283"/>
      <c r="E144" s="1283"/>
      <c r="F144" s="1283"/>
      <c r="I144" s="490"/>
    </row>
    <row r="145" spans="2:9" ht="13.65" customHeight="1">
      <c r="D145" s="1283"/>
      <c r="E145" s="1283"/>
      <c r="F145" s="1283"/>
      <c r="I145" s="490"/>
    </row>
    <row r="146" spans="2:9" ht="13.65" customHeight="1">
      <c r="D146" s="1283"/>
      <c r="E146" s="1283"/>
      <c r="F146" s="1283"/>
      <c r="I146" s="490"/>
    </row>
    <row r="147" spans="2:9" ht="13.65" customHeight="1">
      <c r="D147" s="1283"/>
      <c r="E147" s="1283"/>
      <c r="F147" s="1283"/>
      <c r="I147" s="490"/>
    </row>
    <row r="148" spans="2:9" ht="13.65" customHeight="1">
      <c r="D148" s="1283"/>
      <c r="E148" s="1283"/>
      <c r="F148" s="1283"/>
      <c r="I148" s="490"/>
    </row>
    <row r="149" spans="2:9" ht="13.65" customHeight="1">
      <c r="D149" s="1283"/>
      <c r="E149" s="1283"/>
      <c r="F149" s="1283"/>
      <c r="I149" s="490"/>
    </row>
    <row r="150" spans="2:9" ht="13.65" customHeight="1">
      <c r="D150" s="476"/>
      <c r="E150" s="446"/>
      <c r="F150" s="446"/>
      <c r="I150" s="490"/>
    </row>
    <row r="151" spans="2:9" ht="13.65" customHeight="1">
      <c r="B151" s="485" t="s">
        <v>2724</v>
      </c>
      <c r="D151" s="1283" t="s">
        <v>1178</v>
      </c>
      <c r="E151" s="1283"/>
      <c r="F151" s="1283"/>
      <c r="I151" s="490"/>
    </row>
    <row r="152" spans="2:9" ht="13.65" customHeight="1">
      <c r="D152" s="1283"/>
      <c r="E152" s="1283"/>
      <c r="F152" s="1283"/>
      <c r="I152" s="490"/>
    </row>
    <row r="153" spans="2:9" ht="13.65" customHeight="1">
      <c r="D153" s="1283"/>
      <c r="E153" s="1283"/>
      <c r="F153" s="1283"/>
      <c r="I153" s="490"/>
    </row>
    <row r="154" spans="2:9" ht="13.65" customHeight="1">
      <c r="D154" s="1283"/>
      <c r="E154" s="1283"/>
      <c r="F154" s="1283"/>
      <c r="I154" s="490"/>
    </row>
    <row r="155" spans="2:9" ht="13.65" customHeight="1">
      <c r="D155" s="1283"/>
      <c r="E155" s="1283"/>
      <c r="F155" s="1283"/>
      <c r="I155" s="490"/>
    </row>
    <row r="156" spans="2:9" ht="13.65" customHeight="1">
      <c r="D156" s="1283"/>
      <c r="E156" s="1283"/>
      <c r="F156" s="1283"/>
      <c r="I156" s="490"/>
    </row>
    <row r="157" spans="2:9" ht="13.65" customHeight="1">
      <c r="D157" s="1283"/>
      <c r="E157" s="1283"/>
      <c r="F157" s="1283"/>
      <c r="I157" s="490"/>
    </row>
    <row r="158" spans="2:9" ht="13.65" customHeight="1">
      <c r="D158" s="1283"/>
      <c r="E158" s="1283"/>
      <c r="F158" s="1283"/>
      <c r="I158" s="490"/>
    </row>
    <row r="159" spans="2:9" ht="13.65" customHeight="1">
      <c r="D159" s="1283"/>
      <c r="E159" s="1283"/>
      <c r="F159" s="1283"/>
      <c r="I159" s="490"/>
    </row>
    <row r="160" spans="2:9" ht="13.65" customHeight="1">
      <c r="D160" s="1283"/>
      <c r="E160" s="1283"/>
      <c r="F160" s="1283"/>
      <c r="I160" s="490"/>
    </row>
    <row r="161" spans="1:9" ht="13.65" customHeight="1">
      <c r="D161" s="1283"/>
      <c r="E161" s="1283"/>
      <c r="F161" s="1283"/>
      <c r="I161" s="490"/>
    </row>
    <row r="162" spans="1:9" ht="13.65" customHeight="1">
      <c r="D162" s="1283"/>
      <c r="E162" s="1283"/>
      <c r="F162" s="1283"/>
      <c r="I162" s="490"/>
    </row>
    <row r="163" spans="1:9" ht="13.65" customHeight="1">
      <c r="D163" s="1283"/>
      <c r="E163" s="1283"/>
      <c r="F163" s="1283"/>
      <c r="I163" s="490"/>
    </row>
    <row r="164" spans="1:9" ht="13.65" customHeight="1">
      <c r="D164" s="1283"/>
      <c r="E164" s="1283"/>
      <c r="F164" s="1283"/>
      <c r="I164" s="490"/>
    </row>
    <row r="165" spans="1:9" ht="13.65" customHeight="1">
      <c r="D165" s="1283"/>
      <c r="E165" s="1283"/>
      <c r="F165" s="1283"/>
      <c r="I165" s="490"/>
    </row>
    <row r="166" spans="1:9" ht="13.65" customHeight="1">
      <c r="D166" s="1283"/>
      <c r="E166" s="1283"/>
      <c r="F166" s="1283"/>
      <c r="I166" s="490"/>
    </row>
    <row r="167" spans="1:9" ht="13.65" customHeight="1">
      <c r="D167" s="1283"/>
      <c r="E167" s="1283"/>
      <c r="F167" s="1283"/>
      <c r="I167" s="490"/>
    </row>
    <row r="168" spans="1:9" ht="13.65" customHeight="1">
      <c r="D168" s="1283"/>
      <c r="E168" s="1283"/>
      <c r="F168" s="1283"/>
      <c r="I168" s="490"/>
    </row>
    <row r="169" spans="1:9" ht="13.65" customHeight="1">
      <c r="D169" s="1304" t="s">
        <v>2074</v>
      </c>
      <c r="E169" s="1304"/>
      <c r="F169" s="1304"/>
      <c r="G169" s="507"/>
      <c r="I169" s="490"/>
    </row>
    <row r="170" spans="1:9" ht="13.65" customHeight="1">
      <c r="D170" s="1295"/>
      <c r="E170" s="1295"/>
      <c r="F170" s="1295"/>
      <c r="G170" s="1295"/>
      <c r="I170" s="490"/>
    </row>
    <row r="171" spans="1:9" ht="14.4" customHeight="1">
      <c r="A171" s="489"/>
      <c r="B171" s="485" t="s">
        <v>2724</v>
      </c>
      <c r="C171" s="476"/>
      <c r="D171" s="1263" t="s">
        <v>2214</v>
      </c>
      <c r="E171" s="1263"/>
      <c r="F171" s="1263"/>
      <c r="G171" s="476"/>
      <c r="I171" s="490"/>
    </row>
    <row r="172" spans="1:9" ht="14.4" customHeight="1">
      <c r="A172" s="489"/>
      <c r="B172" s="489"/>
      <c r="C172" s="476"/>
      <c r="D172" s="1263"/>
      <c r="E172" s="1263"/>
      <c r="F172" s="1263"/>
      <c r="G172" s="476"/>
      <c r="I172" s="490"/>
    </row>
    <row r="173" spans="1:9" ht="14.4" customHeight="1">
      <c r="A173" s="489"/>
      <c r="B173" s="489"/>
      <c r="C173" s="476"/>
      <c r="D173" s="1263"/>
      <c r="E173" s="1263"/>
      <c r="F173" s="1263"/>
      <c r="G173" s="476"/>
      <c r="I173" s="490"/>
    </row>
    <row r="174" spans="1:9" ht="14.4" customHeight="1">
      <c r="A174" s="489"/>
      <c r="B174" s="489"/>
      <c r="C174" s="476"/>
      <c r="D174" s="1263"/>
      <c r="E174" s="1263"/>
      <c r="F174" s="1263"/>
      <c r="G174" s="476"/>
      <c r="I174" s="490"/>
    </row>
    <row r="175" spans="1:9" ht="13.65" customHeight="1">
      <c r="A175" s="489"/>
      <c r="B175" s="489"/>
      <c r="C175" s="476"/>
      <c r="D175" s="1263"/>
      <c r="E175" s="1263"/>
      <c r="F175" s="1263"/>
      <c r="G175" s="476"/>
      <c r="I175" s="490"/>
    </row>
    <row r="176" spans="1:9" ht="13.65" customHeight="1">
      <c r="A176" s="489"/>
      <c r="B176" s="489"/>
      <c r="C176" s="476"/>
      <c r="D176" s="476"/>
      <c r="E176" s="476"/>
      <c r="F176" s="476"/>
      <c r="G176" s="476"/>
      <c r="I176" s="490"/>
    </row>
    <row r="177" spans="1:9" ht="13.65" customHeight="1">
      <c r="A177" s="489"/>
      <c r="B177" s="485" t="s">
        <v>2723</v>
      </c>
      <c r="C177" s="476"/>
      <c r="D177" s="1263" t="s">
        <v>1107</v>
      </c>
      <c r="E177" s="1263"/>
      <c r="F177" s="1263"/>
      <c r="G177" s="476"/>
      <c r="I177" s="490"/>
    </row>
    <row r="178" spans="1:9" ht="13.65" customHeight="1">
      <c r="A178" s="489"/>
      <c r="B178" s="489"/>
      <c r="C178" s="476"/>
      <c r="D178" s="1263"/>
      <c r="E178" s="1263"/>
      <c r="F178" s="1263"/>
      <c r="G178" s="476"/>
      <c r="I178" s="490"/>
    </row>
    <row r="179" spans="1:9" ht="13.65" customHeight="1">
      <c r="A179" s="489"/>
      <c r="B179" s="489"/>
      <c r="C179" s="476"/>
      <c r="D179" s="1263"/>
      <c r="E179" s="1263"/>
      <c r="F179" s="1263"/>
      <c r="G179" s="476"/>
      <c r="I179" s="490"/>
    </row>
    <row r="180" spans="1:9" ht="13.65" customHeight="1">
      <c r="A180" s="489"/>
      <c r="B180" s="489"/>
      <c r="C180" s="476"/>
      <c r="D180" s="1263"/>
      <c r="E180" s="1263"/>
      <c r="F180" s="1263"/>
      <c r="G180" s="476"/>
      <c r="I180" s="490"/>
    </row>
    <row r="181" spans="1:9" ht="13.65" customHeight="1">
      <c r="D181" s="446"/>
      <c r="E181" s="446"/>
      <c r="F181" s="446"/>
      <c r="I181" s="490"/>
    </row>
    <row r="182" spans="1:9" ht="13.65" customHeight="1">
      <c r="B182" s="485" t="s">
        <v>2723</v>
      </c>
      <c r="D182" s="1287" t="s">
        <v>2052</v>
      </c>
      <c r="E182" s="1287"/>
      <c r="F182" s="1287"/>
      <c r="I182" s="490"/>
    </row>
    <row r="183" spans="1:9" ht="13.65" customHeight="1">
      <c r="D183" s="1287"/>
      <c r="E183" s="1287"/>
      <c r="F183" s="1287"/>
      <c r="I183" s="490"/>
    </row>
    <row r="184" spans="1:9" ht="13.65" customHeight="1">
      <c r="D184" s="1287"/>
      <c r="E184" s="1287"/>
      <c r="F184" s="1287"/>
      <c r="I184" s="490"/>
    </row>
    <row r="185" spans="1:9" ht="13.65"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65"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2723</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2724</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2724</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2724</v>
      </c>
      <c r="D209" s="386" t="s">
        <v>1896</v>
      </c>
      <c r="E209" s="385"/>
      <c r="F209" s="385"/>
      <c r="I209" s="490"/>
    </row>
    <row r="210" spans="1:9" ht="14.4">
      <c r="A210" s="484"/>
      <c r="B210" s="484"/>
      <c r="D210" s="1300" t="s">
        <v>1903</v>
      </c>
      <c r="E210" s="1300"/>
      <c r="F210" s="1300"/>
      <c r="I210" s="490"/>
    </row>
    <row r="211" spans="1:9">
      <c r="D211" s="385"/>
      <c r="E211" s="1302" t="s">
        <v>1929</v>
      </c>
      <c r="F211" s="1302"/>
      <c r="I211" s="490"/>
    </row>
    <row r="212" spans="1:9">
      <c r="D212" s="447"/>
      <c r="I212" s="490"/>
    </row>
    <row r="213" spans="1:9">
      <c r="B213" s="485" t="s">
        <v>2724</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4">
      <c r="A217" s="484"/>
      <c r="B217" s="485" t="s">
        <v>2724</v>
      </c>
      <c r="D217" s="1283" t="s">
        <v>1217</v>
      </c>
      <c r="E217" s="1283"/>
      <c r="F217" s="1283"/>
      <c r="I217" s="490"/>
    </row>
    <row r="218" spans="1:9" ht="14.4" customHeight="1">
      <c r="A218" s="484"/>
      <c r="B218" s="402"/>
      <c r="D218" s="1283"/>
      <c r="E218" s="1283"/>
      <c r="F218" s="1283"/>
      <c r="I218" s="490"/>
    </row>
    <row r="219" spans="1:9" ht="14.4">
      <c r="A219" s="484"/>
      <c r="D219" s="1283"/>
      <c r="E219" s="1283"/>
      <c r="F219" s="1283"/>
      <c r="I219" s="490"/>
    </row>
    <row r="220" spans="1:9" ht="14.4">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65" customHeight="1">
      <c r="A227" s="490"/>
      <c r="C227" s="490"/>
      <c r="D227" s="1291" t="s">
        <v>547</v>
      </c>
      <c r="E227" s="1291"/>
      <c r="F227" s="1291"/>
      <c r="I227" s="490"/>
    </row>
    <row r="228" spans="1:9" ht="14.4">
      <c r="A228" s="484"/>
      <c r="B228" s="485" t="s">
        <v>2723</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4">
      <c r="A231" s="484"/>
      <c r="B231" s="484"/>
      <c r="D231" s="1283"/>
      <c r="E231" s="1283"/>
      <c r="F231" s="1283"/>
      <c r="I231" s="490"/>
    </row>
    <row r="232" spans="1:9" ht="14.4">
      <c r="A232" s="484"/>
      <c r="B232" s="484"/>
      <c r="D232" s="445"/>
      <c r="E232" s="445"/>
      <c r="F232" s="445"/>
      <c r="I232" s="490"/>
    </row>
    <row r="233" spans="1:9" ht="14.4">
      <c r="A233" s="484"/>
      <c r="B233" s="485" t="s">
        <v>2723</v>
      </c>
      <c r="D233" s="1283" t="s">
        <v>1755</v>
      </c>
      <c r="E233" s="1283"/>
      <c r="F233" s="1283"/>
      <c r="I233" s="490"/>
    </row>
    <row r="234" spans="1:9" ht="14.4">
      <c r="A234" s="484"/>
      <c r="B234" s="484"/>
      <c r="D234" s="1283"/>
      <c r="E234" s="1283"/>
      <c r="F234" s="1283"/>
      <c r="I234" s="490"/>
    </row>
    <row r="235" spans="1:9" ht="14.4">
      <c r="A235" s="484"/>
      <c r="B235" s="484"/>
      <c r="D235" s="1283"/>
      <c r="E235" s="1283"/>
      <c r="F235" s="1283"/>
      <c r="I235" s="490"/>
    </row>
    <row r="236" spans="1:9" ht="14.4">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4">
      <c r="A239" s="484"/>
      <c r="B239" s="484"/>
      <c r="D239" s="1283" t="s">
        <v>1119</v>
      </c>
      <c r="E239" s="1283"/>
      <c r="F239" s="1283"/>
      <c r="I239" s="490"/>
    </row>
    <row r="240" spans="1:9" ht="14.4">
      <c r="A240" s="484"/>
      <c r="B240" s="484"/>
      <c r="D240" s="1283"/>
      <c r="E240" s="1283"/>
      <c r="F240" s="1283"/>
      <c r="I240" s="490"/>
    </row>
    <row r="241" spans="1:9" ht="14.4">
      <c r="A241" s="484"/>
      <c r="B241" s="484"/>
      <c r="D241" s="1283"/>
      <c r="E241" s="1283"/>
      <c r="F241" s="1283"/>
      <c r="I241" s="490"/>
    </row>
    <row r="242" spans="1:9" ht="14.4">
      <c r="A242" s="484"/>
      <c r="B242" s="484"/>
      <c r="D242" s="1283"/>
      <c r="E242" s="1283"/>
      <c r="F242" s="1283"/>
      <c r="I242" s="490"/>
    </row>
    <row r="243" spans="1:9" ht="14.4">
      <c r="A243" s="484"/>
      <c r="B243" s="484"/>
      <c r="D243" s="1283"/>
      <c r="E243" s="1283"/>
      <c r="F243" s="1283"/>
      <c r="I243" s="490"/>
    </row>
    <row r="244" spans="1:9" ht="14.4">
      <c r="A244" s="484"/>
      <c r="B244" s="484"/>
      <c r="D244" s="446"/>
      <c r="E244" s="446"/>
      <c r="F244" s="446"/>
      <c r="I244" s="490"/>
    </row>
    <row r="245" spans="1:9" ht="14.4">
      <c r="A245" s="484"/>
      <c r="B245" s="485" t="s">
        <v>2723</v>
      </c>
      <c r="D245" s="1283" t="s">
        <v>2054</v>
      </c>
      <c r="E245" s="1283"/>
      <c r="F245" s="1283"/>
      <c r="I245" s="490"/>
    </row>
    <row r="246" spans="1:9" ht="14.4">
      <c r="A246" s="484"/>
      <c r="B246" s="484"/>
      <c r="D246" s="1283"/>
      <c r="E246" s="1283"/>
      <c r="F246" s="1283"/>
      <c r="I246" s="490"/>
    </row>
    <row r="247" spans="1:9" ht="14.4">
      <c r="A247" s="484"/>
      <c r="B247" s="484"/>
      <c r="D247" s="1283"/>
      <c r="E247" s="1283"/>
      <c r="F247" s="1283"/>
      <c r="I247" s="490"/>
    </row>
    <row r="248" spans="1:9" ht="14.4">
      <c r="A248" s="484"/>
      <c r="B248" s="484"/>
      <c r="E248" s="1036" t="s">
        <v>1897</v>
      </c>
      <c r="I248" s="490"/>
    </row>
    <row r="249" spans="1:9" ht="14.4">
      <c r="A249" s="484"/>
      <c r="B249" s="484"/>
      <c r="D249" s="446"/>
      <c r="E249" s="446"/>
      <c r="F249" s="446"/>
      <c r="I249" s="490"/>
    </row>
    <row r="250" spans="1:9" ht="14.4" customHeight="1">
      <c r="A250" s="484"/>
      <c r="B250" s="485" t="s">
        <v>2724</v>
      </c>
      <c r="D250" s="1283" t="s">
        <v>2055</v>
      </c>
      <c r="E250" s="1283"/>
      <c r="F250" s="1283"/>
      <c r="I250" s="490"/>
    </row>
    <row r="251" spans="1:9" ht="14.4">
      <c r="A251" s="484"/>
      <c r="B251" s="484"/>
      <c r="D251" s="1283"/>
      <c r="E251" s="1283"/>
      <c r="F251" s="1283"/>
      <c r="I251" s="490"/>
    </row>
    <row r="252" spans="1:9" ht="14.4">
      <c r="A252" s="484"/>
      <c r="B252" s="484"/>
      <c r="D252" s="1283"/>
      <c r="E252" s="1283"/>
      <c r="F252" s="1283"/>
      <c r="I252" s="490"/>
    </row>
    <row r="253" spans="1:9" ht="14.4">
      <c r="A253" s="484"/>
      <c r="B253" s="484"/>
      <c r="D253" s="1283"/>
      <c r="E253" s="1283"/>
      <c r="F253" s="1283"/>
      <c r="I253" s="490"/>
    </row>
    <row r="254" spans="1:9" ht="14.4">
      <c r="A254" s="484"/>
      <c r="B254" s="484"/>
      <c r="D254" s="1283"/>
      <c r="E254" s="1283"/>
      <c r="F254" s="1283"/>
      <c r="I254" s="490"/>
    </row>
    <row r="255" spans="1:9" ht="14.4">
      <c r="A255" s="484"/>
      <c r="B255" s="484"/>
      <c r="D255" s="445"/>
      <c r="E255" s="445"/>
      <c r="F255" s="445"/>
      <c r="I255" s="490"/>
    </row>
    <row r="256" spans="1:9" ht="14.4">
      <c r="A256" s="484"/>
      <c r="B256" s="485" t="s">
        <v>2723</v>
      </c>
      <c r="D256" s="392" t="s">
        <v>2056</v>
      </c>
      <c r="E256" s="445"/>
      <c r="F256" s="445"/>
      <c r="I256" s="490"/>
    </row>
    <row r="257" spans="1:9" ht="14.4">
      <c r="A257" s="484"/>
      <c r="B257" s="484"/>
      <c r="E257" s="1036" t="s">
        <v>1898</v>
      </c>
      <c r="I257" s="490"/>
    </row>
    <row r="258" spans="1:9">
      <c r="D258" s="446"/>
      <c r="E258" s="446"/>
      <c r="F258" s="446"/>
      <c r="I258" s="490"/>
    </row>
    <row r="259" spans="1:9" ht="14.4">
      <c r="A259" s="484"/>
      <c r="B259" s="485" t="s">
        <v>2723</v>
      </c>
      <c r="D259" s="1283" t="s">
        <v>1120</v>
      </c>
      <c r="E259" s="1283"/>
      <c r="F259" s="1283"/>
      <c r="I259" s="490"/>
    </row>
    <row r="260" spans="1:9" ht="14.4">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 customHeight="1">
      <c r="A267" s="484"/>
      <c r="B267" s="485" t="s">
        <v>2723</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 customHeight="1">
      <c r="A271" s="484"/>
      <c r="B271" s="485" t="s">
        <v>2724</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4">
      <c r="A278" s="484"/>
      <c r="B278" s="485" t="s">
        <v>2724</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4">
      <c r="A290" s="484"/>
      <c r="B290" s="485" t="s">
        <v>2724</v>
      </c>
      <c r="D290" s="1283" t="s">
        <v>1126</v>
      </c>
      <c r="E290" s="1283"/>
      <c r="F290" s="1283"/>
      <c r="I290" s="490"/>
    </row>
    <row r="291" spans="1:9" ht="14.4">
      <c r="A291" s="484"/>
      <c r="B291" s="484"/>
      <c r="D291" s="1283"/>
      <c r="E291" s="1283"/>
      <c r="F291" s="1283"/>
      <c r="I291" s="490"/>
    </row>
    <row r="292" spans="1:9">
      <c r="D292" s="446"/>
      <c r="E292" s="446"/>
      <c r="F292" s="446"/>
      <c r="I292" s="490"/>
    </row>
    <row r="293" spans="1:9" ht="14.4">
      <c r="A293" s="484"/>
      <c r="B293" s="485" t="s">
        <v>2724</v>
      </c>
      <c r="D293" s="1283" t="s">
        <v>1127</v>
      </c>
      <c r="E293" s="1283"/>
      <c r="F293" s="1283"/>
      <c r="I293" s="490"/>
    </row>
    <row r="294" spans="1:9" ht="14.4">
      <c r="A294" s="484"/>
      <c r="B294" s="484"/>
      <c r="D294" s="1283"/>
      <c r="E294" s="1283"/>
      <c r="F294" s="1283"/>
      <c r="I294" s="490"/>
    </row>
    <row r="295" spans="1:9" ht="14.4">
      <c r="A295" s="484"/>
      <c r="B295" s="484"/>
      <c r="D295" s="1283"/>
      <c r="E295" s="1283"/>
      <c r="F295" s="1283"/>
      <c r="I295" s="490"/>
    </row>
    <row r="296" spans="1:9">
      <c r="D296" s="446"/>
      <c r="E296" s="446"/>
      <c r="F296" s="446"/>
      <c r="I296" s="490"/>
    </row>
    <row r="297" spans="1:9" ht="14.4">
      <c r="A297" s="484"/>
      <c r="B297" s="485" t="s">
        <v>2724</v>
      </c>
      <c r="D297" s="1283" t="s">
        <v>1128</v>
      </c>
      <c r="E297" s="1283"/>
      <c r="F297" s="1283"/>
      <c r="I297" s="490"/>
    </row>
    <row r="298" spans="1:9" ht="14.4">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2724</v>
      </c>
      <c r="D305" s="1284" t="s">
        <v>1130</v>
      </c>
      <c r="E305" s="1284"/>
      <c r="F305" s="1284"/>
      <c r="I305" s="490"/>
    </row>
    <row r="306" spans="1:9" ht="14.4">
      <c r="A306" s="484"/>
      <c r="B306" s="484"/>
      <c r="D306" s="494"/>
      <c r="E306" s="495"/>
      <c r="F306" s="495"/>
      <c r="I306" s="490"/>
    </row>
    <row r="307" spans="1:9" ht="13.65" customHeight="1">
      <c r="B307" s="485" t="s">
        <v>2724</v>
      </c>
      <c r="D307" s="1293" t="s">
        <v>1220</v>
      </c>
      <c r="E307" s="1293"/>
      <c r="F307" s="1293"/>
      <c r="I307" s="490"/>
    </row>
    <row r="308" spans="1:9" ht="14.4">
      <c r="A308" s="484"/>
      <c r="B308" s="484"/>
      <c r="D308" s="1293"/>
      <c r="E308" s="1293"/>
      <c r="F308" s="1293"/>
      <c r="I308" s="490"/>
    </row>
    <row r="309" spans="1:9" ht="14.4">
      <c r="A309" s="484"/>
      <c r="B309" s="484"/>
      <c r="D309" s="1293"/>
      <c r="E309" s="1293"/>
      <c r="F309" s="1293"/>
      <c r="I309" s="490"/>
    </row>
    <row r="310" spans="1:9" ht="14.4">
      <c r="A310" s="484"/>
      <c r="B310" s="484"/>
      <c r="D310" s="1293"/>
      <c r="E310" s="1293"/>
      <c r="F310" s="1293"/>
      <c r="I310" s="490"/>
    </row>
    <row r="311" spans="1:9" ht="14.4">
      <c r="A311" s="484"/>
      <c r="B311" s="484"/>
      <c r="D311" s="1293"/>
      <c r="E311" s="1293"/>
      <c r="F311" s="1293"/>
      <c r="I311" s="490"/>
    </row>
    <row r="312" spans="1:9" ht="14.4">
      <c r="A312" s="484"/>
      <c r="B312" s="484"/>
      <c r="D312" s="494"/>
      <c r="E312" s="495"/>
      <c r="F312" s="495"/>
      <c r="I312" s="490"/>
    </row>
    <row r="313" spans="1:9" ht="13.65" customHeight="1">
      <c r="B313" s="485" t="s">
        <v>2724</v>
      </c>
      <c r="D313" s="1293" t="s">
        <v>1131</v>
      </c>
      <c r="E313" s="1293"/>
      <c r="F313" s="1293"/>
      <c r="I313" s="490"/>
    </row>
    <row r="314" spans="1:9">
      <c r="D314" s="1293"/>
      <c r="E314" s="1293"/>
      <c r="F314" s="1293"/>
      <c r="I314" s="490"/>
    </row>
    <row r="315" spans="1:9" ht="14.4">
      <c r="A315" s="484"/>
      <c r="B315" s="484"/>
      <c r="D315" s="494"/>
      <c r="E315" s="495"/>
      <c r="F315" s="495"/>
      <c r="I315" s="490"/>
    </row>
    <row r="316" spans="1:9">
      <c r="B316" s="485" t="s">
        <v>2724</v>
      </c>
      <c r="D316" s="1284" t="s">
        <v>1132</v>
      </c>
      <c r="E316" s="1284"/>
      <c r="F316" s="1284"/>
      <c r="I316" s="490"/>
    </row>
    <row r="317" spans="1:9">
      <c r="E317" s="446"/>
      <c r="F317" s="446"/>
      <c r="I317" s="490"/>
    </row>
    <row r="318" spans="1:9" ht="14.4">
      <c r="A318" s="484"/>
      <c r="B318" s="485" t="s">
        <v>2724</v>
      </c>
      <c r="D318" s="1283" t="s">
        <v>2247</v>
      </c>
      <c r="E318" s="1283"/>
      <c r="F318" s="1283"/>
      <c r="I318" s="490"/>
    </row>
    <row r="319" spans="1:9" ht="14.4">
      <c r="A319" s="484"/>
      <c r="B319" s="484"/>
      <c r="D319" s="1283"/>
      <c r="E319" s="1283"/>
      <c r="F319" s="1283"/>
      <c r="I319" s="490"/>
    </row>
    <row r="320" spans="1:9" ht="14.4">
      <c r="A320" s="484"/>
      <c r="B320" s="484"/>
      <c r="D320" s="1283"/>
      <c r="E320" s="1283"/>
      <c r="F320" s="1283"/>
      <c r="I320" s="490"/>
    </row>
    <row r="321" spans="1:9" ht="14.4">
      <c r="A321" s="484"/>
      <c r="B321" s="484"/>
      <c r="D321" s="1283"/>
      <c r="E321" s="1283"/>
      <c r="F321" s="1283"/>
      <c r="I321" s="490"/>
    </row>
    <row r="322" spans="1:9" ht="14.4">
      <c r="A322" s="484"/>
      <c r="B322" s="484"/>
      <c r="D322" s="1283"/>
      <c r="E322" s="1283"/>
      <c r="F322" s="1283"/>
      <c r="I322" s="490"/>
    </row>
    <row r="323" spans="1:9" ht="14.4">
      <c r="A323" s="484"/>
      <c r="B323" s="484"/>
      <c r="D323" s="1283"/>
      <c r="E323" s="1283"/>
      <c r="F323" s="1283"/>
      <c r="I323" s="490"/>
    </row>
    <row r="324" spans="1:9" ht="14.4">
      <c r="A324" s="484"/>
      <c r="B324" s="484"/>
      <c r="D324" s="1283"/>
      <c r="E324" s="1283"/>
      <c r="F324" s="1283"/>
      <c r="I324" s="490"/>
    </row>
    <row r="325" spans="1:9" ht="14.4">
      <c r="A325" s="484"/>
      <c r="B325" s="484"/>
      <c r="D325" s="1283"/>
      <c r="E325" s="1283"/>
      <c r="F325" s="1283"/>
      <c r="I325" s="490"/>
    </row>
    <row r="326" spans="1:9" ht="14.4">
      <c r="A326" s="484"/>
      <c r="B326" s="484"/>
      <c r="D326" s="1283"/>
      <c r="E326" s="1283"/>
      <c r="F326" s="1283"/>
      <c r="I326" s="490"/>
    </row>
    <row r="327" spans="1:9" ht="14.4">
      <c r="A327" s="484"/>
      <c r="B327" s="484"/>
      <c r="D327" s="1283"/>
      <c r="E327" s="1283"/>
      <c r="F327" s="1283"/>
      <c r="I327" s="490"/>
    </row>
    <row r="328" spans="1:9" ht="14.4">
      <c r="A328" s="484"/>
      <c r="B328" s="484"/>
      <c r="D328" s="1283"/>
      <c r="E328" s="1283"/>
      <c r="F328" s="1283"/>
      <c r="I328" s="490"/>
    </row>
    <row r="329" spans="1:9" ht="14.4">
      <c r="A329" s="484"/>
      <c r="B329" s="484"/>
      <c r="D329" s="1283"/>
      <c r="E329" s="1283"/>
      <c r="F329" s="1283"/>
      <c r="I329" s="490"/>
    </row>
    <row r="330" spans="1:9" ht="14.4">
      <c r="A330" s="484"/>
      <c r="B330" s="484"/>
      <c r="D330" s="1283"/>
      <c r="E330" s="1283"/>
      <c r="F330" s="1283"/>
      <c r="I330" s="490"/>
    </row>
    <row r="331" spans="1:9" ht="14.4">
      <c r="A331" s="484"/>
      <c r="B331" s="484"/>
      <c r="D331" s="1283"/>
      <c r="E331" s="1283"/>
      <c r="F331" s="1283"/>
      <c r="I331" s="490"/>
    </row>
    <row r="332" spans="1:9" ht="14.4">
      <c r="A332" s="484"/>
      <c r="B332" s="484"/>
      <c r="D332" s="1283"/>
      <c r="E332" s="1283"/>
      <c r="F332" s="1283"/>
      <c r="I332" s="490"/>
    </row>
    <row r="333" spans="1:9">
      <c r="D333" s="446"/>
      <c r="E333" s="446"/>
      <c r="F333" s="446"/>
      <c r="I333" s="490"/>
    </row>
    <row r="334" spans="1:9" ht="14.4">
      <c r="A334" s="484"/>
      <c r="B334" s="485" t="s">
        <v>2724</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2724</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8" thickBot="1">
      <c r="A351" s="1022"/>
      <c r="B351" s="1022"/>
      <c r="C351" s="1022"/>
      <c r="D351" s="1296" t="s">
        <v>980</v>
      </c>
      <c r="E351" s="1296"/>
      <c r="F351" s="1296"/>
      <c r="G351" s="1027"/>
      <c r="H351" s="1027"/>
      <c r="I351" s="1156"/>
    </row>
    <row r="352" spans="1:9" ht="13.8"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4">
      <c r="A355" s="484"/>
      <c r="B355" s="485" t="s">
        <v>2724</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4">
      <c r="A360" s="484"/>
      <c r="B360" s="485" t="s">
        <v>2724</v>
      </c>
      <c r="C360" s="476"/>
      <c r="D360" s="1295" t="s">
        <v>2058</v>
      </c>
      <c r="E360" s="1295"/>
      <c r="F360" s="1295"/>
      <c r="I360" s="480"/>
    </row>
    <row r="361" spans="1:9">
      <c r="A361" s="476"/>
      <c r="B361" s="476"/>
      <c r="C361" s="476"/>
      <c r="D361" s="447"/>
      <c r="E361" s="447"/>
      <c r="F361" s="446"/>
      <c r="I361" s="490"/>
    </row>
    <row r="362" spans="1:9">
      <c r="A362" s="476"/>
      <c r="B362" s="485" t="s">
        <v>2724</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5" customHeight="1">
      <c r="A375" s="476"/>
      <c r="B375" s="485" t="s">
        <v>2724</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2724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4">
      <c r="A387" s="484"/>
      <c r="B387" s="485" t="s">
        <v>2724</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65"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2724</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 customHeight="1">
      <c r="A423" s="484"/>
      <c r="B423" s="485" t="s">
        <v>2724</v>
      </c>
      <c r="D423" s="1263" t="s">
        <v>1883</v>
      </c>
      <c r="E423" s="1263"/>
      <c r="F423" s="1263"/>
      <c r="I423" s="490"/>
    </row>
    <row r="424" spans="1:9" ht="14.4" customHeight="1">
      <c r="A424" s="484"/>
      <c r="D424" s="1263"/>
      <c r="E424" s="1263"/>
      <c r="F424" s="1263"/>
      <c r="I424" s="490"/>
    </row>
    <row r="425" spans="1:9" ht="14.4" customHeight="1">
      <c r="A425" s="484"/>
      <c r="D425" s="1263"/>
      <c r="E425" s="1263"/>
      <c r="F425" s="1263"/>
      <c r="I425" s="490"/>
    </row>
    <row r="426" spans="1:9" ht="14.4" customHeight="1">
      <c r="A426" s="484"/>
      <c r="D426" s="1263"/>
      <c r="E426" s="1263"/>
      <c r="F426" s="1263"/>
      <c r="I426" s="490"/>
    </row>
    <row r="427" spans="1:9" ht="14.4" customHeight="1">
      <c r="A427" s="484"/>
      <c r="D427" s="1263"/>
      <c r="E427" s="1263"/>
      <c r="F427" s="1263"/>
      <c r="I427" s="490"/>
    </row>
    <row r="428" spans="1:9" ht="14.4" customHeight="1">
      <c r="A428" s="484"/>
      <c r="D428" s="385"/>
      <c r="E428" s="385"/>
      <c r="F428" s="385"/>
      <c r="I428" s="490"/>
    </row>
    <row r="429" spans="1:9" ht="13.65" customHeight="1">
      <c r="A429" s="484"/>
      <c r="B429" s="485" t="s">
        <v>2724</v>
      </c>
      <c r="C429" s="476"/>
      <c r="D429" s="1263" t="s">
        <v>1241</v>
      </c>
      <c r="E429" s="1263"/>
      <c r="F429" s="1263"/>
      <c r="I429" s="490"/>
    </row>
    <row r="430" spans="1:9" ht="14.4">
      <c r="A430" s="497"/>
      <c r="B430" s="497"/>
      <c r="C430" s="476"/>
      <c r="D430" s="1263"/>
      <c r="E430" s="1263"/>
      <c r="F430" s="1263"/>
      <c r="I430" s="490"/>
    </row>
    <row r="431" spans="1:9" ht="14.4">
      <c r="A431" s="497"/>
      <c r="B431" s="497"/>
      <c r="C431" s="476"/>
      <c r="D431" s="1263"/>
      <c r="E431" s="1263"/>
      <c r="F431" s="1263"/>
      <c r="I431" s="490"/>
    </row>
    <row r="432" spans="1:9" ht="14.4">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4">
      <c r="A435" s="484"/>
      <c r="B435" s="485" t="s">
        <v>2724</v>
      </c>
      <c r="C435" s="487"/>
      <c r="D435" s="1283" t="s">
        <v>2060</v>
      </c>
      <c r="E435" s="1283"/>
      <c r="F435" s="1283"/>
      <c r="I435" s="490"/>
    </row>
    <row r="436" spans="1:9" ht="14.4">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65" customHeight="1">
      <c r="D465" s="1283"/>
      <c r="E465" s="1283"/>
      <c r="F465" s="1283"/>
      <c r="I465" s="490"/>
    </row>
    <row r="466" spans="1:9">
      <c r="D466" s="446"/>
      <c r="E466" s="446"/>
      <c r="F466" s="446"/>
      <c r="I466" s="490"/>
    </row>
    <row r="467" spans="1:9" ht="14.4">
      <c r="A467" s="484"/>
      <c r="B467" s="485" t="s">
        <v>2724</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4">
      <c r="B471" s="485" t="s">
        <v>2724</v>
      </c>
      <c r="C471" s="484"/>
      <c r="D471" s="1283" t="s">
        <v>1198</v>
      </c>
      <c r="E471" s="1283"/>
      <c r="F471" s="1283"/>
      <c r="I471" s="490"/>
    </row>
    <row r="472" spans="1:9">
      <c r="D472" s="1283"/>
      <c r="E472" s="1283"/>
      <c r="F472" s="1283"/>
      <c r="I472" s="490"/>
    </row>
    <row r="473" spans="1:9">
      <c r="D473" s="446"/>
      <c r="E473" s="446"/>
      <c r="F473" s="446"/>
      <c r="I473" s="490"/>
    </row>
    <row r="474" spans="1:9" ht="14.4">
      <c r="B474" s="485" t="s">
        <v>2724</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2724</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2724</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2724</v>
      </c>
      <c r="C486" s="402"/>
      <c r="D486" s="1283"/>
      <c r="E486" s="1283"/>
      <c r="F486" s="1283"/>
      <c r="I486" s="490"/>
    </row>
    <row r="487" spans="1:9">
      <c r="A487" s="402"/>
      <c r="C487" s="402"/>
      <c r="D487" s="1283"/>
      <c r="E487" s="1283"/>
      <c r="F487" s="1283"/>
      <c r="I487" s="490"/>
    </row>
    <row r="488" spans="1:9">
      <c r="A488" s="402"/>
      <c r="B488" s="485" t="s">
        <v>2724</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2724</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4">
      <c r="A499" s="484"/>
      <c r="B499" s="484"/>
      <c r="D499" s="1295" t="s">
        <v>1142</v>
      </c>
      <c r="E499" s="1295"/>
      <c r="F499" s="1295"/>
      <c r="I499" s="490"/>
    </row>
    <row r="500" spans="1:9" ht="14.4">
      <c r="A500" s="484"/>
      <c r="B500" s="484"/>
      <c r="D500" s="447"/>
      <c r="I500" s="490"/>
    </row>
    <row r="501" spans="1:9" ht="14.4">
      <c r="A501" s="484"/>
      <c r="B501" s="485" t="s">
        <v>2724</v>
      </c>
      <c r="D501" s="1263" t="s">
        <v>1143</v>
      </c>
      <c r="E501" s="1263"/>
      <c r="F501" s="1263"/>
      <c r="I501" s="490"/>
    </row>
    <row r="502" spans="1:9" ht="14.4">
      <c r="A502" s="484"/>
      <c r="B502" s="484"/>
      <c r="D502" s="1263"/>
      <c r="E502" s="1263"/>
      <c r="F502" s="1263"/>
      <c r="I502" s="490"/>
    </row>
    <row r="503" spans="1:9" ht="14.4">
      <c r="A503" s="484"/>
      <c r="B503" s="484"/>
      <c r="D503" s="446"/>
      <c r="I503" s="490"/>
    </row>
    <row r="504" spans="1:9" ht="12.75" customHeight="1">
      <c r="B504" s="485" t="s">
        <v>2724</v>
      </c>
      <c r="D504" s="1287" t="s">
        <v>1274</v>
      </c>
      <c r="E504" s="1287"/>
      <c r="F504" s="1287"/>
      <c r="I504" s="490"/>
    </row>
    <row r="505" spans="1:9" ht="14.4">
      <c r="A505" s="484"/>
      <c r="D505" s="1287"/>
      <c r="E505" s="1287"/>
      <c r="F505" s="1287"/>
      <c r="I505" s="490"/>
    </row>
    <row r="506" spans="1:9" ht="14.4">
      <c r="A506" s="484"/>
      <c r="B506" s="484"/>
      <c r="D506" s="1287"/>
      <c r="E506" s="1287"/>
      <c r="F506" s="1287"/>
      <c r="I506" s="490"/>
    </row>
    <row r="507" spans="1:9" ht="14.4">
      <c r="A507" s="484"/>
      <c r="B507" s="484"/>
      <c r="D507" s="1287"/>
      <c r="E507" s="1287"/>
      <c r="F507" s="1287"/>
      <c r="I507" s="490"/>
    </row>
    <row r="508" spans="1:9" ht="14.4">
      <c r="A508" s="484"/>
      <c r="D508" s="520"/>
      <c r="E508" s="520"/>
      <c r="F508" s="520"/>
      <c r="I508" s="490"/>
    </row>
    <row r="509" spans="1:9" ht="14.4">
      <c r="A509" s="484"/>
      <c r="B509" s="485" t="s">
        <v>2724</v>
      </c>
      <c r="D509" s="1284" t="s">
        <v>1144</v>
      </c>
      <c r="E509" s="1284"/>
      <c r="F509" s="1284"/>
      <c r="I509" s="490"/>
    </row>
    <row r="510" spans="1:9" ht="14.4">
      <c r="A510" s="484"/>
      <c r="B510" s="484"/>
      <c r="D510" s="446"/>
      <c r="I510" s="490"/>
    </row>
    <row r="511" spans="1:9" ht="14.4">
      <c r="A511" s="484"/>
      <c r="B511" s="485" t="s">
        <v>2724</v>
      </c>
      <c r="D511" s="1283" t="s">
        <v>1145</v>
      </c>
      <c r="E511" s="1283"/>
      <c r="F511" s="1283"/>
      <c r="I511" s="490"/>
    </row>
    <row r="512" spans="1:9" ht="14.4">
      <c r="A512" s="484"/>
      <c r="D512" s="1283"/>
      <c r="E512" s="1283"/>
      <c r="F512" s="1283"/>
      <c r="I512" s="490"/>
    </row>
    <row r="513" spans="1:9">
      <c r="A513" s="490"/>
      <c r="B513" s="490"/>
      <c r="D513" s="447"/>
      <c r="I513" s="490"/>
    </row>
    <row r="514" spans="1:9">
      <c r="A514" s="490"/>
      <c r="B514" s="485" t="s">
        <v>2724</v>
      </c>
      <c r="D514" s="1284" t="s">
        <v>1146</v>
      </c>
      <c r="E514" s="1284"/>
      <c r="F514" s="1284"/>
      <c r="I514" s="490"/>
    </row>
    <row r="515" spans="1:9">
      <c r="D515" s="446"/>
      <c r="E515" s="446"/>
      <c r="F515" s="446"/>
      <c r="I515" s="490"/>
    </row>
    <row r="516" spans="1:9">
      <c r="B516" s="485" t="s">
        <v>2724</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4">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65" customHeight="1">
      <c r="A527" s="483"/>
      <c r="B527" s="485" t="s">
        <v>2723</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2723</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 customHeight="1">
      <c r="A536" s="483"/>
      <c r="B536" s="485" t="s">
        <v>2724</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65" customHeight="1">
      <c r="A548" s="484"/>
      <c r="B548" s="485" t="s">
        <v>2723</v>
      </c>
      <c r="C548" s="487"/>
      <c r="D548" s="1284" t="s">
        <v>885</v>
      </c>
      <c r="E548" s="1284"/>
      <c r="F548" s="1284"/>
      <c r="I548" s="490"/>
    </row>
    <row r="549" spans="1:9" ht="13.65" customHeight="1">
      <c r="A549" s="487"/>
      <c r="B549" s="487"/>
      <c r="C549" s="487"/>
      <c r="D549" s="446"/>
      <c r="I549" s="490"/>
    </row>
    <row r="550" spans="1:9" ht="14.4">
      <c r="A550" s="484"/>
      <c r="B550" s="485" t="s">
        <v>2723</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4">
      <c r="A553" s="484"/>
      <c r="B553" s="485" t="s">
        <v>2723</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4">
      <c r="A556" s="484"/>
      <c r="B556" s="485" t="s">
        <v>2723</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4">
      <c r="A559" s="484"/>
      <c r="B559" s="485" t="s">
        <v>2723</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4">
      <c r="A563" s="484"/>
      <c r="B563" s="485" t="s">
        <v>2724</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4">
      <c r="A566" s="484"/>
      <c r="B566" s="485" t="s">
        <v>2724</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4">
      <c r="A569" s="484"/>
      <c r="B569" s="485" t="s">
        <v>2723</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4">
      <c r="A572" s="484"/>
      <c r="B572" s="484"/>
      <c r="C572" s="487"/>
      <c r="E572" s="446"/>
      <c r="F572" s="446"/>
      <c r="I572" s="490"/>
    </row>
    <row r="573" spans="1:9" ht="14.4">
      <c r="A573" s="484"/>
      <c r="B573" s="485" t="s">
        <v>2723</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4">
      <c r="A578" s="484"/>
      <c r="B578" s="485" t="s">
        <v>2723</v>
      </c>
      <c r="C578" s="487"/>
      <c r="D578" s="1283" t="s">
        <v>2064</v>
      </c>
      <c r="E578" s="1283"/>
      <c r="F578" s="1283"/>
      <c r="I578" s="490"/>
    </row>
    <row r="579" spans="1:9" ht="14.4">
      <c r="A579" s="484"/>
      <c r="B579" s="484"/>
      <c r="C579" s="487"/>
      <c r="D579" s="1283"/>
      <c r="E579" s="1283"/>
      <c r="F579" s="1283"/>
      <c r="I579" s="490"/>
    </row>
    <row r="580" spans="1:9" ht="14.4">
      <c r="A580" s="484"/>
      <c r="B580" s="484"/>
      <c r="C580" s="487"/>
      <c r="D580" s="1283"/>
      <c r="E580" s="1283"/>
      <c r="F580" s="1283"/>
      <c r="I580" s="490"/>
    </row>
    <row r="581" spans="1:9" ht="14.4">
      <c r="A581" s="484"/>
      <c r="B581" s="484"/>
      <c r="C581" s="487"/>
      <c r="D581" s="1283"/>
      <c r="E581" s="1283"/>
      <c r="F581" s="1283"/>
      <c r="I581" s="490"/>
    </row>
    <row r="582" spans="1:9" ht="14.4">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2723</v>
      </c>
      <c r="D588" s="1287" t="s">
        <v>889</v>
      </c>
      <c r="E588" s="1287"/>
      <c r="F588" s="1287"/>
      <c r="I588" s="490"/>
    </row>
    <row r="589" spans="1:9">
      <c r="A589" s="490"/>
      <c r="B589" s="490"/>
      <c r="D589" s="476"/>
      <c r="I589" s="490"/>
    </row>
    <row r="590" spans="1:9">
      <c r="A590" s="490"/>
      <c r="B590" s="485" t="s">
        <v>2723</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2724</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2723</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2724</v>
      </c>
      <c r="D602" s="1287" t="s">
        <v>1070</v>
      </c>
      <c r="E602" s="1287"/>
      <c r="F602" s="1287"/>
      <c r="I602" s="490"/>
    </row>
    <row r="603" spans="1:9">
      <c r="A603" s="490"/>
      <c r="B603" s="490"/>
      <c r="D603" s="1287"/>
      <c r="E603" s="1287"/>
      <c r="F603" s="1287"/>
      <c r="I603" s="490"/>
    </row>
    <row r="604" spans="1:9" ht="14.4">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2723</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2723</v>
      </c>
      <c r="D620" s="1308" t="s">
        <v>1112</v>
      </c>
      <c r="E620" s="1308"/>
      <c r="F620" s="1308"/>
      <c r="I620" s="490"/>
    </row>
    <row r="621" spans="1:9">
      <c r="D621" s="1308"/>
      <c r="E621" s="1308"/>
      <c r="F621" s="1308"/>
      <c r="I621" s="490"/>
    </row>
    <row r="622" spans="1:9">
      <c r="I622" s="490"/>
    </row>
    <row r="623" spans="1:9">
      <c r="B623" s="485" t="s">
        <v>2723</v>
      </c>
      <c r="D623" s="1308" t="s">
        <v>1113</v>
      </c>
      <c r="E623" s="1308"/>
      <c r="F623" s="1308"/>
      <c r="I623" s="490"/>
    </row>
    <row r="624" spans="1:9">
      <c r="C624" s="500"/>
      <c r="D624" s="1308"/>
      <c r="E624" s="1308"/>
      <c r="F624" s="1308"/>
      <c r="I624" s="490"/>
    </row>
    <row r="625" spans="1:9">
      <c r="C625" s="500"/>
      <c r="I625" s="490"/>
    </row>
    <row r="626" spans="1:9">
      <c r="B626" s="485" t="s">
        <v>2724</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2723</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4">
      <c r="A640" s="484"/>
      <c r="B640" s="485" t="s">
        <v>2724</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4">
      <c r="A643" s="484"/>
      <c r="B643" s="485" t="s">
        <v>2724</v>
      </c>
      <c r="C643" s="487"/>
      <c r="D643" s="1283" t="s">
        <v>1226</v>
      </c>
      <c r="E643" s="1283"/>
      <c r="F643" s="1283"/>
      <c r="I643" s="490"/>
    </row>
    <row r="644" spans="1:9" ht="14.4">
      <c r="A644" s="484"/>
      <c r="B644" s="484"/>
      <c r="C644" s="487"/>
      <c r="D644" s="1283"/>
      <c r="E644" s="1283"/>
      <c r="F644" s="1283"/>
      <c r="I644" s="490"/>
    </row>
    <row r="645" spans="1:9" ht="14.4">
      <c r="A645" s="484"/>
      <c r="B645" s="484"/>
      <c r="C645" s="487"/>
      <c r="D645" s="1283"/>
      <c r="E645" s="1283"/>
      <c r="F645" s="1283"/>
      <c r="I645" s="490"/>
    </row>
    <row r="646" spans="1:9">
      <c r="A646" s="487"/>
      <c r="B646" s="485" t="s">
        <v>2724</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2723</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 customHeight="1">
      <c r="A657" s="484"/>
      <c r="B657" s="484"/>
      <c r="C657" s="487"/>
      <c r="D657" s="385"/>
      <c r="E657" s="385"/>
      <c r="F657" s="385"/>
      <c r="I657" s="490"/>
    </row>
    <row r="658" spans="1:9" ht="12.75" customHeight="1">
      <c r="A658" s="483"/>
      <c r="B658" s="485" t="s">
        <v>2723</v>
      </c>
      <c r="C658" s="487"/>
      <c r="D658" s="1283" t="s">
        <v>1284</v>
      </c>
      <c r="E658" s="1283"/>
      <c r="F658" s="1283"/>
      <c r="I658" s="490"/>
    </row>
    <row r="659" spans="1:9" ht="14.4">
      <c r="A659" s="483"/>
      <c r="B659" s="484"/>
      <c r="C659" s="487"/>
      <c r="D659" s="1283"/>
      <c r="E659" s="1283"/>
      <c r="F659" s="1283"/>
      <c r="I659" s="490"/>
    </row>
    <row r="660" spans="1:9" ht="14.4">
      <c r="A660" s="483"/>
      <c r="B660" s="484"/>
      <c r="C660" s="487"/>
      <c r="D660" s="1283"/>
      <c r="E660" s="1283"/>
      <c r="F660" s="1283"/>
      <c r="I660" s="490"/>
    </row>
    <row r="661" spans="1:9" ht="14.4">
      <c r="A661" s="483"/>
      <c r="B661" s="484"/>
      <c r="C661" s="487"/>
      <c r="D661" s="1283"/>
      <c r="E661" s="1283"/>
      <c r="F661" s="1283"/>
      <c r="I661" s="490"/>
    </row>
    <row r="662" spans="1:9" ht="14.4">
      <c r="A662" s="483"/>
      <c r="B662" s="484"/>
      <c r="C662" s="487"/>
      <c r="D662" s="1283"/>
      <c r="E662" s="1283"/>
      <c r="F662" s="1283"/>
      <c r="I662" s="490"/>
    </row>
    <row r="663" spans="1:9" ht="14.25" customHeight="1">
      <c r="A663" s="483"/>
      <c r="B663" s="484"/>
      <c r="C663" s="487"/>
      <c r="F663" s="386"/>
      <c r="I663" s="490"/>
    </row>
    <row r="664" spans="1:9" ht="12.75" customHeight="1">
      <c r="A664" s="483"/>
      <c r="B664" s="485" t="s">
        <v>2723</v>
      </c>
      <c r="C664" s="487"/>
      <c r="D664" s="1283" t="s">
        <v>1283</v>
      </c>
      <c r="E664" s="1283"/>
      <c r="F664" s="1283"/>
      <c r="I664" s="490"/>
    </row>
    <row r="665" spans="1:9" ht="14.4">
      <c r="A665" s="483"/>
      <c r="B665" s="484"/>
      <c r="C665" s="487"/>
      <c r="D665" s="1283"/>
      <c r="E665" s="1283"/>
      <c r="F665" s="1283"/>
      <c r="I665" s="490"/>
    </row>
    <row r="666" spans="1:9" ht="14.4">
      <c r="A666" s="484"/>
      <c r="B666" s="484"/>
      <c r="C666" s="487"/>
      <c r="D666" s="1283"/>
      <c r="E666" s="1283"/>
      <c r="F666" s="1283"/>
      <c r="I666" s="490"/>
    </row>
    <row r="667" spans="1:9" ht="14.4">
      <c r="A667" s="484"/>
      <c r="B667" s="484"/>
      <c r="C667" s="487"/>
      <c r="D667" s="1283"/>
      <c r="E667" s="1283"/>
      <c r="F667" s="1283"/>
      <c r="I667" s="490"/>
    </row>
    <row r="668" spans="1:9" ht="14.4">
      <c r="A668" s="484"/>
      <c r="B668" s="484"/>
      <c r="C668" s="487"/>
      <c r="D668" s="445"/>
      <c r="E668" s="445"/>
      <c r="F668" s="445"/>
      <c r="I668" s="490"/>
    </row>
    <row r="669" spans="1:9" ht="12.75" customHeight="1">
      <c r="A669" s="483"/>
      <c r="B669" s="485" t="s">
        <v>2724</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4">
      <c r="A685" s="484"/>
      <c r="B685" s="485" t="s">
        <v>2723</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4">
      <c r="A690" s="484"/>
      <c r="B690" s="485" t="s">
        <v>2724</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4">
      <c r="A694" s="484"/>
      <c r="B694" s="485" t="s">
        <v>2723</v>
      </c>
      <c r="C694" s="483"/>
      <c r="D694" s="1284" t="s">
        <v>918</v>
      </c>
      <c r="E694" s="1284"/>
      <c r="F694" s="1284"/>
      <c r="H694" s="501"/>
      <c r="I694" s="483"/>
      <c r="J694" s="501"/>
      <c r="K694" s="501"/>
    </row>
    <row r="695" spans="1:11" ht="14.4">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4">
      <c r="A698" s="484"/>
      <c r="B698" s="485" t="s">
        <v>2724</v>
      </c>
      <c r="C698" s="483"/>
      <c r="D698" s="1284" t="s">
        <v>2471</v>
      </c>
      <c r="E698" s="1284"/>
      <c r="F698" s="1284"/>
      <c r="H698" s="501"/>
      <c r="I698" s="483"/>
      <c r="J698" s="501"/>
      <c r="K698" s="501"/>
    </row>
    <row r="699" spans="1:11" ht="14.4">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4">
      <c r="A702" s="484"/>
      <c r="B702" s="485" t="s">
        <v>2723</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2723</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4">
      <c r="A712" s="484"/>
      <c r="B712" s="485" t="s">
        <v>2724</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2724</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2724</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2724</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4">
      <c r="A738" s="484"/>
      <c r="B738" s="485" t="s">
        <v>2724</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4">
      <c r="A744" s="484"/>
      <c r="B744" s="485" t="s">
        <v>2724</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65"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4">
      <c r="A758" s="484"/>
      <c r="B758" s="485" t="s">
        <v>2723</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4">
      <c r="A765" s="503"/>
      <c r="B765" s="485" t="s">
        <v>2723</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4">
      <c r="A770" s="484"/>
      <c r="B770" s="485" t="s">
        <v>2723</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4">
      <c r="A774" s="484"/>
      <c r="B774" s="485" t="s">
        <v>2724</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2724</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2723</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2724</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4">
      <c r="A794" s="175"/>
      <c r="B794" s="485" t="s">
        <v>2724</v>
      </c>
      <c r="C794" s="989"/>
      <c r="D794" s="1316" t="s">
        <v>1759</v>
      </c>
      <c r="E794" s="1316"/>
      <c r="F794" s="1316"/>
      <c r="G794" s="988"/>
      <c r="I794" s="483"/>
    </row>
    <row r="795" spans="1:9" ht="14.4">
      <c r="A795" s="175"/>
      <c r="B795" s="175"/>
      <c r="C795" s="989"/>
      <c r="D795" s="1316"/>
      <c r="E795" s="1316"/>
      <c r="F795" s="1316"/>
      <c r="G795" s="988"/>
      <c r="I795" s="490"/>
    </row>
    <row r="796" spans="1:9" ht="14.4">
      <c r="A796" s="175"/>
      <c r="B796" s="175"/>
      <c r="C796" s="989"/>
      <c r="D796" s="1316"/>
      <c r="E796" s="1316"/>
      <c r="F796" s="1316"/>
      <c r="G796" s="988"/>
      <c r="I796" s="490"/>
    </row>
    <row r="797" spans="1:9" ht="14.4">
      <c r="A797" s="175"/>
      <c r="B797" s="175"/>
      <c r="C797" s="989"/>
      <c r="D797" s="118"/>
      <c r="E797" s="3"/>
      <c r="F797" s="3"/>
      <c r="G797" s="988"/>
      <c r="I797" s="490"/>
    </row>
    <row r="798" spans="1:9" ht="14.4">
      <c r="A798" s="175"/>
      <c r="B798" s="485" t="s">
        <v>2724</v>
      </c>
      <c r="C798" s="989"/>
      <c r="D798" s="1316" t="s">
        <v>1760</v>
      </c>
      <c r="E798" s="1316"/>
      <c r="F798" s="1316"/>
      <c r="G798" s="988"/>
      <c r="I798" s="483"/>
    </row>
    <row r="799" spans="1:9" ht="14.4">
      <c r="A799" s="175"/>
      <c r="B799" s="175"/>
      <c r="C799" s="989"/>
      <c r="D799" s="1316"/>
      <c r="E799" s="1316"/>
      <c r="F799" s="1316"/>
      <c r="G799" s="988"/>
      <c r="I799" s="490"/>
    </row>
    <row r="800" spans="1:9" ht="14.4">
      <c r="A800" s="175"/>
      <c r="B800" s="175"/>
      <c r="C800" s="989"/>
      <c r="D800" s="1316"/>
      <c r="E800" s="1316"/>
      <c r="F800" s="1316"/>
      <c r="G800" s="988"/>
      <c r="I800" s="490"/>
    </row>
    <row r="801" spans="1:9" ht="14.4">
      <c r="A801" s="175"/>
      <c r="B801" s="175"/>
      <c r="C801" s="989"/>
      <c r="D801" s="1316"/>
      <c r="E801" s="1316"/>
      <c r="F801" s="1316"/>
      <c r="G801" s="988"/>
      <c r="I801" s="490"/>
    </row>
    <row r="802" spans="1:9" ht="14.4">
      <c r="A802" s="175"/>
      <c r="B802" s="175"/>
      <c r="C802" s="989"/>
      <c r="D802" s="1316"/>
      <c r="E802" s="1316"/>
      <c r="F802" s="1316"/>
      <c r="G802" s="988"/>
      <c r="I802" s="490"/>
    </row>
    <row r="803" spans="1:9" ht="14.4">
      <c r="A803" s="175"/>
      <c r="B803" s="175"/>
      <c r="C803" s="989"/>
      <c r="D803" s="1316"/>
      <c r="E803" s="1316"/>
      <c r="F803" s="1316"/>
      <c r="G803" s="988"/>
      <c r="I803" s="490"/>
    </row>
    <row r="804" spans="1:9" ht="14.4">
      <c r="A804" s="175"/>
      <c r="B804" s="175"/>
      <c r="C804" s="989"/>
      <c r="D804" s="1316" t="s">
        <v>1803</v>
      </c>
      <c r="E804" s="1316"/>
      <c r="F804" s="1316"/>
      <c r="G804" s="988"/>
      <c r="I804" s="490"/>
    </row>
    <row r="805" spans="1:9" ht="14.4">
      <c r="A805" s="175"/>
      <c r="B805" s="175"/>
      <c r="C805" s="989"/>
      <c r="D805" s="1316"/>
      <c r="E805" s="1316"/>
      <c r="F805" s="1316"/>
      <c r="G805" s="988"/>
      <c r="I805" s="490"/>
    </row>
    <row r="806" spans="1:9" ht="14.4">
      <c r="A806" s="175"/>
      <c r="B806" s="175"/>
      <c r="C806" s="989"/>
      <c r="D806" s="1316"/>
      <c r="E806" s="1316"/>
      <c r="F806" s="1316"/>
      <c r="G806" s="988"/>
      <c r="I806" s="490"/>
    </row>
    <row r="807" spans="1:9" ht="14.4">
      <c r="A807" s="175"/>
      <c r="B807" s="354"/>
      <c r="C807" s="989"/>
      <c r="D807" s="990"/>
      <c r="E807" s="990"/>
      <c r="F807" s="990"/>
      <c r="G807" s="988"/>
      <c r="I807" s="490"/>
    </row>
    <row r="808" spans="1:9" ht="14.4">
      <c r="A808" s="175"/>
      <c r="B808" s="485" t="s">
        <v>2724</v>
      </c>
      <c r="C808" s="989"/>
      <c r="D808" s="1316" t="s">
        <v>1761</v>
      </c>
      <c r="E808" s="1316"/>
      <c r="F808" s="1316"/>
      <c r="G808" s="988"/>
      <c r="I808" s="483"/>
    </row>
    <row r="809" spans="1:9" ht="14.4">
      <c r="A809" s="175"/>
      <c r="B809" s="175"/>
      <c r="C809" s="989"/>
      <c r="D809" s="1316"/>
      <c r="E809" s="1316"/>
      <c r="F809" s="1316"/>
      <c r="G809" s="988"/>
      <c r="I809" s="490"/>
    </row>
    <row r="810" spans="1:9" ht="14.4">
      <c r="A810" s="175"/>
      <c r="B810" s="175"/>
      <c r="C810" s="989"/>
      <c r="D810" s="1316"/>
      <c r="E810" s="1316"/>
      <c r="F810" s="1316"/>
      <c r="G810" s="988"/>
      <c r="I810" s="490"/>
    </row>
    <row r="811" spans="1:9" ht="14.4">
      <c r="A811" s="175"/>
      <c r="B811" s="175"/>
      <c r="C811" s="989"/>
      <c r="D811" s="1316"/>
      <c r="E811" s="1316"/>
      <c r="F811" s="1316"/>
      <c r="G811" s="988"/>
      <c r="I811" s="490"/>
    </row>
    <row r="812" spans="1:9" ht="14.4">
      <c r="A812" s="175"/>
      <c r="B812" s="175"/>
      <c r="C812" s="989"/>
      <c r="D812" s="1316"/>
      <c r="E812" s="1316"/>
      <c r="F812" s="1316"/>
      <c r="G812" s="988"/>
      <c r="I812" s="490"/>
    </row>
    <row r="813" spans="1:9" ht="14.4">
      <c r="A813" s="175"/>
      <c r="B813" s="175"/>
      <c r="C813" s="989"/>
      <c r="D813" s="1316"/>
      <c r="E813" s="1316"/>
      <c r="F813" s="1316"/>
      <c r="G813" s="988"/>
      <c r="I813" s="490"/>
    </row>
    <row r="814" spans="1:9" ht="14.4">
      <c r="A814" s="175"/>
      <c r="B814" s="175"/>
      <c r="C814" s="989"/>
      <c r="D814" s="982"/>
      <c r="E814" s="982"/>
      <c r="F814" s="982"/>
      <c r="G814" s="988"/>
      <c r="I814" s="490"/>
    </row>
    <row r="815" spans="1:9" ht="14.4">
      <c r="A815" s="175"/>
      <c r="B815" s="485" t="s">
        <v>2724</v>
      </c>
      <c r="C815" s="989"/>
      <c r="D815" s="1316" t="s">
        <v>1762</v>
      </c>
      <c r="E815" s="1316"/>
      <c r="F815" s="1316"/>
      <c r="G815" s="988"/>
      <c r="I815" s="483"/>
    </row>
    <row r="816" spans="1:9" ht="14.4">
      <c r="A816" s="175"/>
      <c r="B816" s="175"/>
      <c r="C816" s="989"/>
      <c r="D816" s="1316"/>
      <c r="E816" s="1316"/>
      <c r="F816" s="1316"/>
      <c r="G816" s="988"/>
      <c r="I816" s="490"/>
    </row>
    <row r="817" spans="1:9" ht="14.4">
      <c r="A817" s="175"/>
      <c r="B817" s="175"/>
      <c r="C817" s="989"/>
      <c r="D817" s="1316"/>
      <c r="E817" s="1316"/>
      <c r="F817" s="1316"/>
      <c r="G817" s="988"/>
      <c r="I817" s="490"/>
    </row>
    <row r="818" spans="1:9" ht="14.4">
      <c r="A818" s="175"/>
      <c r="B818" s="175"/>
      <c r="C818" s="989"/>
      <c r="D818" s="1316"/>
      <c r="E818" s="1316"/>
      <c r="F818" s="1316"/>
      <c r="G818" s="988"/>
      <c r="I818" s="490"/>
    </row>
    <row r="819" spans="1:9" ht="14.4">
      <c r="A819" s="175"/>
      <c r="B819" s="175"/>
      <c r="C819" s="989"/>
      <c r="D819" s="1316"/>
      <c r="E819" s="1316"/>
      <c r="F819" s="1316"/>
      <c r="G819" s="988"/>
      <c r="I819" s="490"/>
    </row>
    <row r="820" spans="1:9" ht="14.4">
      <c r="A820" s="175"/>
      <c r="B820" s="175"/>
      <c r="C820" s="989"/>
      <c r="D820" s="1316"/>
      <c r="E820" s="1316"/>
      <c r="F820" s="1316"/>
      <c r="G820" s="988"/>
      <c r="I820" s="490"/>
    </row>
    <row r="821" spans="1:9" ht="14.4">
      <c r="A821" s="175"/>
      <c r="B821" s="175"/>
      <c r="C821" s="989"/>
      <c r="D821" s="982"/>
      <c r="E821" s="982"/>
      <c r="F821" s="982"/>
      <c r="G821" s="988"/>
      <c r="I821" s="490"/>
    </row>
    <row r="822" spans="1:9" ht="14.4">
      <c r="A822" s="175"/>
      <c r="B822" s="485" t="s">
        <v>2724</v>
      </c>
      <c r="C822" s="989"/>
      <c r="D822" s="1288" t="s">
        <v>1763</v>
      </c>
      <c r="E822" s="1288"/>
      <c r="F822" s="1288"/>
      <c r="G822" s="988"/>
      <c r="I822" s="483"/>
    </row>
    <row r="823" spans="1:9" ht="14.4">
      <c r="A823" s="175"/>
      <c r="B823" s="175"/>
      <c r="C823" s="989"/>
      <c r="D823" s="1288"/>
      <c r="E823" s="1288"/>
      <c r="F823" s="1288"/>
      <c r="G823" s="988"/>
      <c r="I823" s="490"/>
    </row>
    <row r="824" spans="1:9">
      <c r="A824" s="13"/>
      <c r="B824" s="13"/>
      <c r="C824" s="989"/>
      <c r="D824" s="1288"/>
      <c r="E824" s="1288"/>
      <c r="F824" s="1288"/>
      <c r="G824" s="988"/>
      <c r="I824" s="490"/>
    </row>
    <row r="825" spans="1:9" ht="14.4">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2723</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2723</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2724</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2723</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2724</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2723</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2723</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2724</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2724</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2724</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2723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2723</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2723</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2724</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2724</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2724</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2724</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2723</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2723</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2723</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2724</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2724</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2724</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2723</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2723</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2724</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2724</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2723</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2724</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2723</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2724</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2724</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2723</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2724</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2724</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2723</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2724</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2724</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2723</v>
      </c>
      <c r="C1062" s="402"/>
      <c r="D1062" s="402" t="s">
        <v>1813</v>
      </c>
      <c r="I1062" s="490"/>
    </row>
    <row r="1063" spans="1:9">
      <c r="A1063" s="402"/>
      <c r="B1063" s="402"/>
      <c r="C1063" s="402"/>
      <c r="I1063" s="490"/>
    </row>
    <row r="1064" spans="1:9">
      <c r="A1064" s="402"/>
      <c r="B1064" s="485" t="s">
        <v>2723</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2723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2723</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2724</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2724</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2724</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2724</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2724</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2724</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2724</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2723</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2724</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29" workbookViewId="0">
      <selection activeCell="AM557" sqref="AM557:AS557"/>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1">
        <v>4</v>
      </c>
      <c r="BD1" s="3" t="s">
        <v>2499</v>
      </c>
      <c r="BE1" s="3"/>
      <c r="BF1" s="3"/>
    </row>
    <row r="2" spans="1:58" ht="12.9" customHeight="1">
      <c r="BD2" s="3" t="s">
        <v>2500</v>
      </c>
      <c r="BE2" s="3" t="s">
        <v>2501</v>
      </c>
      <c r="BF2" s="3" t="s">
        <v>2502</v>
      </c>
    </row>
    <row r="3" spans="1:58" ht="12.9" customHeight="1">
      <c r="BD3" s="3" t="s">
        <v>2597</v>
      </c>
      <c r="BE3" t="str">
        <f>AC220</f>
        <v xml:space="preserve">Coastal (Monterey, Napa, Orange, San Benito, San Diego, San Luis Obispo, Santa Barbara, Sonoma, and Ventura Counties) </v>
      </c>
    </row>
    <row r="4" spans="1:58" ht="12.9" customHeight="1">
      <c r="BD4" s="3" t="s">
        <v>2509</v>
      </c>
      <c r="BE4" s="1246"/>
    </row>
    <row r="5" spans="1:58" ht="12.9" customHeight="1">
      <c r="BD5" s="3" t="s">
        <v>2510</v>
      </c>
      <c r="BE5">
        <f>SUMIF($AC$718:$AC$752,"&lt;=20%",$G$718:G$752)</f>
        <v>0</v>
      </c>
      <c r="BF5" s="3" t="s">
        <v>2515</v>
      </c>
    </row>
    <row r="6" spans="1:58" ht="12.9" customHeight="1">
      <c r="BD6" s="3" t="s">
        <v>2511</v>
      </c>
      <c r="BE6" s="1249">
        <f>SUMIF($AC$718:$AC$752,"&lt;=25%",$G$718:G$752)-SUM($BE$5:BE5)</f>
        <v>0</v>
      </c>
    </row>
    <row r="7" spans="1:58" ht="12.9" customHeight="1">
      <c r="BD7" s="1247" t="s">
        <v>2503</v>
      </c>
      <c r="BE7" s="1249">
        <f>SUMIF($AC$718:$AC$752,"&lt;=30%",$G$718:G$752)-SUM($BE$5:BE6)</f>
        <v>13</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2512</v>
      </c>
      <c r="BE8" s="1249">
        <f>SUMIF($AC$718:$AC$752,"&lt;=35%",$G$718:G$752)-SUM($BE$5:BE7)</f>
        <v>0</v>
      </c>
    </row>
    <row r="9" spans="1:58" ht="12.9" customHeight="1">
      <c r="A9" s="1836" t="s">
        <v>2078</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2504</v>
      </c>
      <c r="BE9" s="1249">
        <f>SUMIF($AC$718:$AC$752,"&lt;=40%",$G$718:G$752)-SUM($BE$5:BE8)</f>
        <v>11</v>
      </c>
    </row>
    <row r="10" spans="1:58" ht="12.9" customHeight="1">
      <c r="A10" s="1836" t="s">
        <v>2461</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2513</v>
      </c>
      <c r="BE10" s="1249">
        <f>SUMIF($AC$718:$AC$752,"&lt;=45%",$G$718:G$752)-SUM($BE$5:BE9)</f>
        <v>0</v>
      </c>
    </row>
    <row r="11" spans="1:58" ht="12.9" customHeight="1">
      <c r="A11" s="1836" t="s">
        <v>2607</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2505</v>
      </c>
      <c r="BE11" s="1249">
        <f>SUMIF($AC$718:$AC$752,"&lt;=50%",$G$718:G$752)-SUM($BE$5:BE10)</f>
        <v>17</v>
      </c>
    </row>
    <row r="12" spans="1:58" ht="12.9" customHeight="1">
      <c r="A12" s="1837" t="s">
        <v>2612</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2514</v>
      </c>
      <c r="BE12" s="1249">
        <f>SUMIF($AC$718:$AC$752,"&lt;=55%",$G$718:G$752)-SUM($BE$5:BE11)</f>
        <v>0</v>
      </c>
    </row>
    <row r="13" spans="1:58" ht="12.9"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8</v>
      </c>
    </row>
    <row r="14" spans="1:58" ht="12.9"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 customHeight="1">
      <c r="A16" s="57" t="s">
        <v>2080</v>
      </c>
      <c r="C16" s="4"/>
      <c r="D16" s="4"/>
      <c r="E16" s="4"/>
      <c r="F16" s="4"/>
      <c r="G16" s="4"/>
      <c r="H16" s="1566" t="s">
        <v>2725</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BD16" s="1248" t="s">
        <v>657</v>
      </c>
      <c r="BE16" s="1249" t="str">
        <f>Application!H18</f>
        <v>136 River Apartments</v>
      </c>
    </row>
    <row r="17" spans="1:58" ht="12.9" customHeight="1">
      <c r="BD17" s="1247" t="s">
        <v>2521</v>
      </c>
      <c r="BE17" s="1249">
        <f>Application!AA934</f>
        <v>0</v>
      </c>
    </row>
    <row r="18" spans="1:58" ht="12.9" customHeight="1">
      <c r="A18" s="57" t="s">
        <v>101</v>
      </c>
      <c r="C18" s="4"/>
      <c r="D18" s="4"/>
      <c r="E18" s="4"/>
      <c r="F18" s="4"/>
      <c r="G18" s="4"/>
      <c r="H18" s="1522" t="s">
        <v>2613</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2.9" customHeight="1">
      <c r="BD19" s="1247" t="s">
        <v>2523</v>
      </c>
      <c r="BE19" s="1249">
        <f>Application!M26</f>
        <v>2147774</v>
      </c>
    </row>
    <row r="20" spans="1:58" ht="12.9" customHeight="1">
      <c r="A20" s="1838" t="s">
        <v>874</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2524</v>
      </c>
      <c r="BE20" s="1249">
        <f>Application!M27</f>
        <v>9999036</v>
      </c>
    </row>
    <row r="21" spans="1:58" ht="12.9" customHeight="1">
      <c r="A21" s="1841" t="s">
        <v>1010</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2525</v>
      </c>
      <c r="BE21" s="1249">
        <f>Application!AM554</f>
        <v>22655819</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44869243</v>
      </c>
      <c r="BF22" s="3" t="s">
        <v>2598</v>
      </c>
    </row>
    <row r="23" spans="1:58" ht="12.9"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1650000</v>
      </c>
    </row>
    <row r="24" spans="1:58" ht="12.9"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54157</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 customHeight="1">
      <c r="A26" s="4"/>
      <c r="C26" s="4"/>
      <c r="D26" s="4"/>
      <c r="E26" s="4"/>
      <c r="F26" s="4"/>
      <c r="G26" s="4"/>
      <c r="H26" s="4"/>
      <c r="I26" s="4"/>
      <c r="J26" s="4"/>
      <c r="K26" s="4"/>
      <c r="L26" s="4"/>
      <c r="M26" s="1840">
        <f>'Basis &amp; Credits'!AB56</f>
        <v>2147774</v>
      </c>
      <c r="N26" s="1840"/>
      <c r="O26" s="1840"/>
      <c r="P26" s="1840"/>
      <c r="Q26" s="1840"/>
      <c r="R26" s="4" t="s">
        <v>760</v>
      </c>
      <c r="S26" s="4"/>
      <c r="T26" s="4"/>
      <c r="U26" s="4"/>
      <c r="V26" s="4"/>
      <c r="W26" s="4"/>
      <c r="X26" s="4"/>
      <c r="Y26" s="4"/>
      <c r="Z26" s="4"/>
      <c r="AF26" s="4"/>
      <c r="AG26" s="4"/>
      <c r="AH26" s="4"/>
      <c r="AI26" s="4"/>
      <c r="AJ26" s="4"/>
      <c r="AK26" s="4"/>
      <c r="BD26" s="1248" t="s">
        <v>1640</v>
      </c>
      <c r="BE26" s="1249" t="b">
        <f>Application!M356="Yes"</f>
        <v>0</v>
      </c>
    </row>
    <row r="27" spans="1:58" ht="12.9" customHeight="1">
      <c r="A27" s="4"/>
      <c r="C27" s="4"/>
      <c r="D27" s="4"/>
      <c r="E27" s="4"/>
      <c r="F27" s="4"/>
      <c r="G27" s="4"/>
      <c r="H27" s="4"/>
      <c r="I27" s="4"/>
      <c r="J27" s="4"/>
      <c r="K27" s="4"/>
      <c r="L27" s="4"/>
      <c r="M27" s="1359">
        <f>'Basis &amp; Credits'!AB78</f>
        <v>9999036</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 customHeight="1">
      <c r="A29" s="1535" t="s">
        <v>2149</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2530</v>
      </c>
      <c r="BE29" s="1249" t="b">
        <f>Application!M358="Yes"</f>
        <v>0</v>
      </c>
    </row>
    <row r="30" spans="1:58" ht="12.9"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1</v>
      </c>
    </row>
    <row r="31" spans="1:58" ht="12.9"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2531</v>
      </c>
      <c r="BE31" s="1249"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 customHeight="1">
      <c r="A33" s="519" t="s">
        <v>1279</v>
      </c>
      <c r="C33" s="519"/>
      <c r="D33" s="519"/>
      <c r="E33" s="519"/>
      <c r="F33" s="519"/>
      <c r="G33" s="519"/>
      <c r="H33" s="519"/>
      <c r="I33" s="519"/>
      <c r="J33" s="519"/>
      <c r="K33" s="519"/>
      <c r="L33" s="519"/>
      <c r="M33" s="519"/>
      <c r="N33" s="519"/>
      <c r="O33" s="1415" t="s">
        <v>670</v>
      </c>
      <c r="P33" s="1415"/>
      <c r="Q33" s="1839" t="s">
        <v>2150</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2599</v>
      </c>
      <c r="BE33" s="1249" t="str">
        <f>Application!D220</f>
        <v>Central Coast Region: Monterey, San Luis Obispo, Santa Barbara, Santa Cruz, and Ventura Counties</v>
      </c>
    </row>
    <row r="34" spans="1:57" ht="12.9" customHeight="1">
      <c r="A34" s="1535" t="s">
        <v>2151</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2533</v>
      </c>
      <c r="BE34" s="1249" t="str">
        <f>Application!I185</f>
        <v xml:space="preserve">136 River Street </v>
      </c>
    </row>
    <row r="35" spans="1:57" ht="12.9"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2534</v>
      </c>
      <c r="BE35" s="1249" t="str">
        <f>IF(Application!E187="","",Application!E187)</f>
        <v/>
      </c>
    </row>
    <row r="36" spans="1:57" ht="12.9"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2535</v>
      </c>
      <c r="BE36" s="1249" t="str">
        <f>Application!I189</f>
        <v>Santa Cruz</v>
      </c>
    </row>
    <row r="37" spans="1:57" ht="12.9"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2536</v>
      </c>
      <c r="BE37" s="1249" t="str">
        <f>Application!T189</f>
        <v>Santa Cruz</v>
      </c>
    </row>
    <row r="38" spans="1:57" ht="12.9" customHeight="1">
      <c r="A38" s="3"/>
      <c r="AZ38" s="20"/>
      <c r="BD38" s="1248" t="s">
        <v>2537</v>
      </c>
      <c r="BE38" s="1249">
        <f>Application!I190</f>
        <v>95060</v>
      </c>
    </row>
    <row r="39" spans="1:57" ht="12.9"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50</v>
      </c>
    </row>
    <row r="40" spans="1:57" ht="12.9"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49</v>
      </c>
    </row>
    <row r="41" spans="1:57" ht="12.9"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0.4408163265306122</v>
      </c>
    </row>
    <row r="43" spans="1:57" ht="12.9"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0.44079377178777235</v>
      </c>
    </row>
    <row r="44" spans="1:57" ht="12.9"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897384.86</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1</v>
      </c>
    </row>
    <row r="47" spans="1:57" ht="12.9"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1</v>
      </c>
    </row>
    <row r="48" spans="1:57" ht="12.9"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136 River Partners, LLC</v>
      </c>
    </row>
    <row r="49" spans="1:57" ht="12.9"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Jim Rendler</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PacH Lancaster Holdings, LLC</v>
      </c>
    </row>
    <row r="52" spans="1:57" ht="12.9"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Mark Wiese</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 xml:space="preserve">Pacific Housing, Inc. </v>
      </c>
    </row>
    <row r="54" spans="1:57" ht="12.9"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t="str">
        <f>Application!M259</f>
        <v xml:space="preserve">Pacific Housing </v>
      </c>
    </row>
    <row r="55" spans="1:57" ht="12.9"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t="str">
        <f>Application!M262</f>
        <v>Mark Wiese</v>
      </c>
    </row>
    <row r="56" spans="1:57" ht="12.9"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136 River Partners, LLC</v>
      </c>
    </row>
    <row r="58" spans="1:57" ht="12.9"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 xml:space="preserve">433 Marsh St. </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San Luis Obispo, CA 93401</v>
      </c>
    </row>
    <row r="60" spans="1:57" ht="12.9"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Jim Rendler</v>
      </c>
    </row>
    <row r="61" spans="1:57" ht="12.9"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jrendler@ftfhousing.com</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0.86775000000000002</v>
      </c>
    </row>
    <row r="63" spans="1:57" ht="12.9"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0.81393000000000004</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 customHeight="1">
      <c r="A65" s="1544" t="s">
        <v>2158</v>
      </c>
      <c r="B65" s="1544"/>
      <c r="C65" s="1544"/>
      <c r="D65" s="1544"/>
      <c r="E65" s="1544"/>
      <c r="F65" s="1544"/>
      <c r="G65" s="1544"/>
      <c r="H65" s="1544"/>
      <c r="I65" s="1544"/>
      <c r="J65" s="1544"/>
      <c r="K65" s="1544"/>
      <c r="L65" s="1544"/>
      <c r="M65" s="1544"/>
      <c r="N65" s="1544"/>
      <c r="O65" s="1544"/>
      <c r="P65" s="1544"/>
      <c r="Q65" s="1544"/>
      <c r="R65" s="1544"/>
      <c r="S65" s="1544"/>
      <c r="T65" s="1544"/>
      <c r="U65" s="1544"/>
      <c r="V65" s="1544"/>
      <c r="W65" s="1544"/>
      <c r="X65" s="1544"/>
      <c r="Y65" s="1544"/>
      <c r="Z65" s="1544"/>
      <c r="AA65" s="1544"/>
      <c r="AB65" s="1544"/>
      <c r="AC65" s="1544"/>
      <c r="AD65" s="1544"/>
      <c r="AE65" s="1544"/>
      <c r="AF65" s="1544"/>
      <c r="AG65" s="1544"/>
      <c r="AH65" s="1544"/>
      <c r="AI65" s="1544"/>
      <c r="AJ65" s="1544"/>
      <c r="AK65" s="1544"/>
      <c r="AL65" s="1544"/>
      <c r="AM65" s="1544"/>
      <c r="AN65" s="1544"/>
      <c r="AO65" s="1544"/>
      <c r="AP65" s="1544"/>
      <c r="AQ65" s="1544"/>
      <c r="AR65" s="1544"/>
      <c r="AS65" s="1544"/>
      <c r="AT65" s="1544"/>
      <c r="AU65" s="21"/>
      <c r="AV65" s="21"/>
      <c r="AW65" s="21"/>
      <c r="AX65" s="21"/>
      <c r="AY65" s="21"/>
      <c r="AZ65" s="20"/>
      <c r="BD65" s="1247" t="s">
        <v>2596</v>
      </c>
      <c r="BE65" s="1249" t="str">
        <f>Z205</f>
        <v>$500M</v>
      </c>
    </row>
    <row r="66" spans="1:57" ht="12.9" customHeight="1">
      <c r="A66" s="1544"/>
      <c r="B66" s="1544"/>
      <c r="C66" s="1544"/>
      <c r="D66" s="1544"/>
      <c r="E66" s="1544"/>
      <c r="F66" s="1544"/>
      <c r="G66" s="1544"/>
      <c r="H66" s="1544"/>
      <c r="I66" s="1544"/>
      <c r="J66" s="1544"/>
      <c r="K66" s="1544"/>
      <c r="L66" s="1544"/>
      <c r="M66" s="1544"/>
      <c r="N66" s="1544"/>
      <c r="O66" s="1544"/>
      <c r="P66" s="1544"/>
      <c r="Q66" s="1544"/>
      <c r="R66" s="1544"/>
      <c r="S66" s="1544"/>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21"/>
      <c r="AV66" s="21"/>
      <c r="AW66" s="21"/>
      <c r="AX66" s="21"/>
      <c r="AY66" s="21"/>
      <c r="AZ66" s="20"/>
      <c r="BD66" s="1248" t="s">
        <v>2561</v>
      </c>
      <c r="BE66" s="1249" t="b">
        <f>Application!Z205="State Farmworker Credit"</f>
        <v>0</v>
      </c>
    </row>
    <row r="67" spans="1:57" ht="12.9" customHeight="1">
      <c r="A67" s="1544"/>
      <c r="B67" s="1544"/>
      <c r="C67" s="1544"/>
      <c r="D67" s="1544"/>
      <c r="E67" s="1544"/>
      <c r="F67" s="1544"/>
      <c r="G67" s="1544"/>
      <c r="H67" s="1544"/>
      <c r="I67" s="1544"/>
      <c r="J67" s="1544"/>
      <c r="K67" s="1544"/>
      <c r="L67" s="1544"/>
      <c r="M67" s="1544"/>
      <c r="N67" s="1544"/>
      <c r="O67" s="1544"/>
      <c r="P67" s="1544"/>
      <c r="Q67" s="1544"/>
      <c r="R67" s="1544"/>
      <c r="S67" s="1544"/>
      <c r="T67" s="1544"/>
      <c r="U67" s="1544"/>
      <c r="V67" s="1544"/>
      <c r="W67" s="1544"/>
      <c r="X67" s="1544"/>
      <c r="Y67" s="1544"/>
      <c r="Z67" s="1544"/>
      <c r="AA67" s="1544"/>
      <c r="AB67" s="1544"/>
      <c r="AC67" s="1544"/>
      <c r="AD67" s="1544"/>
      <c r="AE67" s="1544"/>
      <c r="AF67" s="1544"/>
      <c r="AG67" s="1544"/>
      <c r="AH67" s="1544"/>
      <c r="AI67" s="1544"/>
      <c r="AJ67" s="1544"/>
      <c r="AK67" s="1544"/>
      <c r="AL67" s="1544"/>
      <c r="AM67" s="1544"/>
      <c r="AN67" s="1544"/>
      <c r="AO67" s="1544"/>
      <c r="AP67" s="1544"/>
      <c r="AQ67" s="1544"/>
      <c r="AR67" s="1544"/>
      <c r="AS67" s="1544"/>
      <c r="AT67" s="1544"/>
      <c r="AZ67" s="20"/>
      <c r="BD67" s="1247" t="s">
        <v>2562</v>
      </c>
      <c r="BE67" s="1249" t="b">
        <f>Application!O33="Yes"</f>
        <v>0</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580224</v>
      </c>
    </row>
    <row r="69" spans="1:57" ht="12.9" customHeight="1">
      <c r="A69" s="1544" t="s">
        <v>2159</v>
      </c>
      <c r="B69" s="1544"/>
      <c r="C69" s="1544"/>
      <c r="D69" s="1544"/>
      <c r="E69" s="1544"/>
      <c r="F69" s="1544"/>
      <c r="G69" s="1544"/>
      <c r="H69" s="1544"/>
      <c r="I69" s="1544"/>
      <c r="J69" s="1544"/>
      <c r="K69" s="1544"/>
      <c r="L69" s="1544"/>
      <c r="M69" s="1544"/>
      <c r="N69" s="1544"/>
      <c r="O69" s="1544"/>
      <c r="P69" s="1544"/>
      <c r="Q69" s="1544"/>
      <c r="R69" s="1544"/>
      <c r="S69" s="1544"/>
      <c r="T69" s="1544"/>
      <c r="U69" s="1544"/>
      <c r="V69" s="1544"/>
      <c r="W69" s="1544"/>
      <c r="X69" s="1544"/>
      <c r="Y69" s="1544"/>
      <c r="Z69" s="1544"/>
      <c r="AA69" s="1544"/>
      <c r="AB69" s="1544"/>
      <c r="AC69" s="1544"/>
      <c r="AD69" s="1544"/>
      <c r="AE69" s="1544"/>
      <c r="AF69" s="1544"/>
      <c r="AG69" s="1544"/>
      <c r="AH69" s="1544"/>
      <c r="AI69" s="1544"/>
      <c r="AJ69" s="1544"/>
      <c r="AK69" s="1544"/>
      <c r="AL69" s="1544"/>
      <c r="AM69" s="1544"/>
      <c r="AN69" s="1544"/>
      <c r="AO69" s="1544"/>
      <c r="AP69" s="1544"/>
      <c r="AQ69" s="1544"/>
      <c r="AR69" s="1544"/>
      <c r="AS69" s="1544"/>
      <c r="AT69" s="1544"/>
      <c r="AZ69" s="20"/>
      <c r="BD69" s="1247" t="s">
        <v>2564</v>
      </c>
      <c r="BE69" s="1249" t="str">
        <f>Application!W700</f>
        <v>California Municipal Finance Authority</v>
      </c>
    </row>
    <row r="70" spans="1:57" ht="12.9" customHeight="1">
      <c r="A70" s="1544"/>
      <c r="B70" s="1544"/>
      <c r="C70" s="1544"/>
      <c r="D70" s="1544"/>
      <c r="E70" s="1544"/>
      <c r="F70" s="1544"/>
      <c r="G70" s="1544"/>
      <c r="H70" s="1544"/>
      <c r="I70" s="1544"/>
      <c r="J70" s="1544"/>
      <c r="K70" s="1544"/>
      <c r="L70" s="1544"/>
      <c r="M70" s="1544"/>
      <c r="N70" s="1544"/>
      <c r="O70" s="1544"/>
      <c r="P70" s="1544"/>
      <c r="Q70" s="1544"/>
      <c r="R70" s="1544"/>
      <c r="S70" s="1544"/>
      <c r="T70" s="1544"/>
      <c r="U70" s="1544"/>
      <c r="V70" s="1544"/>
      <c r="W70" s="1544"/>
      <c r="X70" s="1544"/>
      <c r="Y70" s="1544"/>
      <c r="Z70" s="1544"/>
      <c r="AA70" s="1544"/>
      <c r="AB70" s="1544"/>
      <c r="AC70" s="1544"/>
      <c r="AD70" s="1544"/>
      <c r="AE70" s="1544"/>
      <c r="AF70" s="1544"/>
      <c r="AG70" s="1544"/>
      <c r="AH70" s="1544"/>
      <c r="AI70" s="1544"/>
      <c r="AJ70" s="1544"/>
      <c r="AK70" s="1544"/>
      <c r="AL70" s="1544"/>
      <c r="AM70" s="1544"/>
      <c r="AN70" s="1544"/>
      <c r="AO70" s="1544"/>
      <c r="AP70" s="1544"/>
      <c r="AQ70" s="1544"/>
      <c r="AR70" s="1544"/>
      <c r="AS70" s="1544"/>
      <c r="AT70" s="1544"/>
      <c r="AU70" s="20"/>
      <c r="AV70" s="20"/>
      <c r="AW70" s="20"/>
      <c r="AX70" s="20"/>
      <c r="AY70" s="20"/>
      <c r="AZ70" s="20"/>
      <c r="BD70" s="1248" t="s">
        <v>2565</v>
      </c>
      <c r="BE70" s="1249">
        <f>'Points System'!AF821</f>
        <v>120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 customHeight="1">
      <c r="A72" s="1535" t="s">
        <v>2160</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2567</v>
      </c>
      <c r="BE72" s="1249">
        <f>'Points System'!AF805</f>
        <v>10</v>
      </c>
    </row>
    <row r="73" spans="1:57" ht="12.9"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2568</v>
      </c>
      <c r="BE73" s="1249">
        <f>'Points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 customHeight="1">
      <c r="A75" s="1543" t="s">
        <v>2161</v>
      </c>
      <c r="B75" s="1543"/>
      <c r="C75" s="1543"/>
      <c r="D75" s="1543"/>
      <c r="E75" s="1543"/>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3"/>
      <c r="AI75" s="1543"/>
      <c r="AJ75" s="1543"/>
      <c r="AK75" s="1543"/>
      <c r="AL75" s="1543"/>
      <c r="AM75" s="1543"/>
      <c r="AN75" s="1543"/>
      <c r="AO75" s="1543"/>
      <c r="AP75" s="1543"/>
      <c r="AQ75" s="1543"/>
      <c r="AR75" s="1543"/>
      <c r="AS75" s="1543"/>
      <c r="AT75" s="1543"/>
      <c r="AU75" s="20"/>
      <c r="AV75" s="20"/>
      <c r="AW75" s="20"/>
      <c r="AX75" s="20"/>
      <c r="AY75" s="20"/>
      <c r="AZ75" s="20"/>
      <c r="BD75" s="1247" t="s">
        <v>2570</v>
      </c>
      <c r="BE75" s="1249">
        <f>'Points System'!AF808</f>
        <v>10</v>
      </c>
    </row>
    <row r="76" spans="1:57" ht="12.9" customHeight="1">
      <c r="A76" s="1543"/>
      <c r="B76" s="1543"/>
      <c r="C76" s="1543"/>
      <c r="D76" s="1543"/>
      <c r="E76" s="1543"/>
      <c r="F76" s="1543"/>
      <c r="G76" s="1543"/>
      <c r="H76" s="1543"/>
      <c r="I76" s="1543"/>
      <c r="J76" s="1543"/>
      <c r="K76" s="1543"/>
      <c r="L76" s="1543"/>
      <c r="M76" s="1543"/>
      <c r="N76" s="1543"/>
      <c r="O76" s="1543"/>
      <c r="P76" s="1543"/>
      <c r="Q76" s="1543"/>
      <c r="R76" s="1543"/>
      <c r="S76" s="1543"/>
      <c r="T76" s="1543"/>
      <c r="U76" s="1543"/>
      <c r="V76" s="1543"/>
      <c r="W76" s="1543"/>
      <c r="X76" s="1543"/>
      <c r="Y76" s="1543"/>
      <c r="Z76" s="1543"/>
      <c r="AA76" s="1543"/>
      <c r="AB76" s="1543"/>
      <c r="AC76" s="1543"/>
      <c r="AD76" s="1543"/>
      <c r="AE76" s="1543"/>
      <c r="AF76" s="1543"/>
      <c r="AG76" s="1543"/>
      <c r="AH76" s="1543"/>
      <c r="AI76" s="1543"/>
      <c r="AJ76" s="1543"/>
      <c r="AK76" s="1543"/>
      <c r="AL76" s="1543"/>
      <c r="AM76" s="1543"/>
      <c r="AN76" s="1543"/>
      <c r="AO76" s="1543"/>
      <c r="AP76" s="1543"/>
      <c r="AQ76" s="1543"/>
      <c r="AR76" s="1543"/>
      <c r="AS76" s="1543"/>
      <c r="AT76" s="1543"/>
      <c r="AU76" s="20"/>
      <c r="AV76" s="20"/>
      <c r="AW76" s="20"/>
      <c r="AX76" s="20"/>
      <c r="AY76" s="20"/>
      <c r="AZ76" s="17"/>
      <c r="BD76" s="1248" t="s">
        <v>2571</v>
      </c>
      <c r="BE76" s="1249">
        <f>'Points System'!AF811</f>
        <v>10</v>
      </c>
    </row>
    <row r="77" spans="1:57" ht="12.9" customHeight="1">
      <c r="A77" s="1543"/>
      <c r="B77" s="1543"/>
      <c r="C77" s="1543"/>
      <c r="D77" s="1543"/>
      <c r="E77" s="1543"/>
      <c r="F77" s="1543"/>
      <c r="G77" s="1543"/>
      <c r="H77" s="1543"/>
      <c r="I77" s="1543"/>
      <c r="J77" s="1543"/>
      <c r="K77" s="1543"/>
      <c r="L77" s="1543"/>
      <c r="M77" s="1543"/>
      <c r="N77" s="1543"/>
      <c r="O77" s="1543"/>
      <c r="P77" s="1543"/>
      <c r="Q77" s="1543"/>
      <c r="R77" s="1543"/>
      <c r="S77" s="1543"/>
      <c r="T77" s="1543"/>
      <c r="U77" s="1543"/>
      <c r="V77" s="1543"/>
      <c r="W77" s="1543"/>
      <c r="X77" s="1543"/>
      <c r="Y77" s="1543"/>
      <c r="Z77" s="1543"/>
      <c r="AA77" s="1543"/>
      <c r="AB77" s="1543"/>
      <c r="AC77" s="1543"/>
      <c r="AD77" s="1543"/>
      <c r="AE77" s="1543"/>
      <c r="AF77" s="1543"/>
      <c r="AG77" s="1543"/>
      <c r="AH77" s="1543"/>
      <c r="AI77" s="1543"/>
      <c r="AJ77" s="1543"/>
      <c r="AK77" s="1543"/>
      <c r="AL77" s="1543"/>
      <c r="AM77" s="1543"/>
      <c r="AN77" s="1543"/>
      <c r="AO77" s="1543"/>
      <c r="AP77" s="1543"/>
      <c r="AQ77" s="1543"/>
      <c r="AR77" s="1543"/>
      <c r="AS77" s="1543"/>
      <c r="AT77" s="1543"/>
      <c r="AU77" s="20"/>
      <c r="AV77" s="20"/>
      <c r="AW77" s="20"/>
      <c r="AX77" s="20"/>
      <c r="AY77" s="20"/>
      <c r="AZ77" s="17"/>
      <c r="BD77" s="1247" t="s">
        <v>2572</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 customHeight="1">
      <c r="A79" s="1544" t="s">
        <v>2162</v>
      </c>
      <c r="B79" s="1544"/>
      <c r="C79" s="1544"/>
      <c r="D79" s="1544"/>
      <c r="E79" s="1544"/>
      <c r="F79" s="1544"/>
      <c r="G79" s="1544"/>
      <c r="H79" s="1544"/>
      <c r="I79" s="1544"/>
      <c r="J79" s="1544"/>
      <c r="K79" s="1544"/>
      <c r="L79" s="1544"/>
      <c r="M79" s="1544"/>
      <c r="N79" s="1544"/>
      <c r="O79" s="1544"/>
      <c r="P79" s="1544"/>
      <c r="Q79" s="1544"/>
      <c r="R79" s="1544"/>
      <c r="S79" s="1544"/>
      <c r="T79" s="1544"/>
      <c r="U79" s="1544"/>
      <c r="V79" s="1544"/>
      <c r="W79" s="1544"/>
      <c r="X79" s="1544"/>
      <c r="Y79" s="1544"/>
      <c r="Z79" s="1544"/>
      <c r="AA79" s="1544"/>
      <c r="AB79" s="1544"/>
      <c r="AC79" s="1544"/>
      <c r="AD79" s="1544"/>
      <c r="AE79" s="1544"/>
      <c r="AF79" s="1544"/>
      <c r="AG79" s="1544"/>
      <c r="AH79" s="1544"/>
      <c r="AI79" s="1544"/>
      <c r="AJ79" s="1544"/>
      <c r="AK79" s="1544"/>
      <c r="AL79" s="1544"/>
      <c r="AM79" s="1544"/>
      <c r="AN79" s="1544"/>
      <c r="AO79" s="1544"/>
      <c r="AP79" s="1544"/>
      <c r="AQ79" s="1544"/>
      <c r="AR79" s="1544"/>
      <c r="AS79" s="1544"/>
      <c r="AT79" s="1544"/>
      <c r="AU79" s="20"/>
      <c r="AV79" s="20"/>
      <c r="AW79" s="20"/>
      <c r="AX79" s="20"/>
      <c r="AY79" s="20"/>
      <c r="AZ79" s="20"/>
      <c r="BD79" s="1247" t="s">
        <v>2574</v>
      </c>
      <c r="BE79" s="1249">
        <f>'Points System'!AF815</f>
        <v>10</v>
      </c>
    </row>
    <row r="80" spans="1:57" ht="12.9" customHeight="1">
      <c r="A80" s="1544"/>
      <c r="B80" s="1544"/>
      <c r="C80" s="1544"/>
      <c r="D80" s="1544"/>
      <c r="E80" s="1544"/>
      <c r="F80" s="1544"/>
      <c r="G80" s="1544"/>
      <c r="H80" s="1544"/>
      <c r="I80" s="1544"/>
      <c r="J80" s="1544"/>
      <c r="K80" s="1544"/>
      <c r="L80" s="1544"/>
      <c r="M80" s="1544"/>
      <c r="N80" s="1544"/>
      <c r="O80" s="1544"/>
      <c r="P80" s="1544"/>
      <c r="Q80" s="1544"/>
      <c r="R80" s="1544"/>
      <c r="S80" s="1544"/>
      <c r="T80" s="1544"/>
      <c r="U80" s="1544"/>
      <c r="V80" s="1544"/>
      <c r="W80" s="1544"/>
      <c r="X80" s="1544"/>
      <c r="Y80" s="1544"/>
      <c r="Z80" s="1544"/>
      <c r="AA80" s="1544"/>
      <c r="AB80" s="1544"/>
      <c r="AC80" s="1544"/>
      <c r="AD80" s="1544"/>
      <c r="AE80" s="1544"/>
      <c r="AF80" s="1544"/>
      <c r="AG80" s="1544"/>
      <c r="AH80" s="1544"/>
      <c r="AI80" s="1544"/>
      <c r="AJ80" s="1544"/>
      <c r="AK80" s="1544"/>
      <c r="AL80" s="1544"/>
      <c r="AM80" s="1544"/>
      <c r="AN80" s="1544"/>
      <c r="AO80" s="1544"/>
      <c r="AP80" s="1544"/>
      <c r="AQ80" s="1544"/>
      <c r="AR80" s="1544"/>
      <c r="AS80" s="1544"/>
      <c r="AT80" s="1544"/>
      <c r="AU80" s="20"/>
      <c r="AV80" s="20"/>
      <c r="AW80" s="20"/>
      <c r="AX80" s="20"/>
      <c r="AY80" s="20"/>
      <c r="AZ80" s="20"/>
      <c r="BD80" s="1248" t="s">
        <v>2575</v>
      </c>
      <c r="BE80" s="1249">
        <f>'Points System'!AF817</f>
        <v>10</v>
      </c>
    </row>
    <row r="81" spans="1:57" ht="12.9" customHeight="1">
      <c r="A81" s="1544"/>
      <c r="B81" s="1544"/>
      <c r="C81" s="1544"/>
      <c r="D81" s="1544"/>
      <c r="E81" s="1544"/>
      <c r="F81" s="1544"/>
      <c r="G81" s="1544"/>
      <c r="H81" s="1544"/>
      <c r="I81" s="1544"/>
      <c r="J81" s="1544"/>
      <c r="K81" s="1544"/>
      <c r="L81" s="1544"/>
      <c r="M81" s="1544"/>
      <c r="N81" s="1544"/>
      <c r="O81" s="1544"/>
      <c r="P81" s="1544"/>
      <c r="Q81" s="1544"/>
      <c r="R81" s="1544"/>
      <c r="S81" s="1544"/>
      <c r="T81" s="1544"/>
      <c r="U81" s="1544"/>
      <c r="V81" s="1544"/>
      <c r="W81" s="1544"/>
      <c r="X81" s="1544"/>
      <c r="Y81" s="1544"/>
      <c r="Z81" s="1544"/>
      <c r="AA81" s="1544"/>
      <c r="AB81" s="1544"/>
      <c r="AC81" s="1544"/>
      <c r="AD81" s="1544"/>
      <c r="AE81" s="1544"/>
      <c r="AF81" s="1544"/>
      <c r="AG81" s="1544"/>
      <c r="AH81" s="1544"/>
      <c r="AI81" s="1544"/>
      <c r="AJ81" s="1544"/>
      <c r="AK81" s="1544"/>
      <c r="AL81" s="1544"/>
      <c r="AM81" s="1544"/>
      <c r="AN81" s="1544"/>
      <c r="AO81" s="1544"/>
      <c r="AP81" s="1544"/>
      <c r="AQ81" s="1544"/>
      <c r="AR81" s="1544"/>
      <c r="AS81" s="1544"/>
      <c r="AT81" s="1544"/>
      <c r="AU81" s="20"/>
      <c r="AV81" s="20"/>
      <c r="AW81" s="20"/>
      <c r="AX81" s="20"/>
      <c r="AY81" s="20"/>
      <c r="AZ81" s="20"/>
      <c r="BD81" s="1247" t="s">
        <v>2576</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1.1733185792206682</v>
      </c>
    </row>
    <row r="84" spans="1:57" ht="12.9"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Santa Cruz</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Mr. Matt Huffaker</v>
      </c>
    </row>
    <row r="86" spans="1:57" ht="12.9"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809 Center Street</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Santa Cruz</v>
      </c>
    </row>
    <row r="89" spans="1:57" ht="12.9" customHeight="1">
      <c r="A89" s="1553" t="s">
        <v>2165</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2584</v>
      </c>
      <c r="BE89" s="1249">
        <f>Application!O158</f>
        <v>95060</v>
      </c>
    </row>
    <row r="90" spans="1:57" ht="12.9"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2585</v>
      </c>
      <c r="BE90" s="1249" t="str">
        <f>Application!H16</f>
        <v>136 River Apartments Investors, L.P., a to be formed Limited Partnership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 xml:space="preserve">433 Marsh St. </v>
      </c>
    </row>
    <row r="92" spans="1:57" ht="12.9" customHeight="1">
      <c r="A92" s="1543" t="s">
        <v>2166</v>
      </c>
      <c r="B92" s="1543"/>
      <c r="C92" s="1543"/>
      <c r="D92" s="1543"/>
      <c r="E92" s="1543"/>
      <c r="F92" s="1543"/>
      <c r="G92" s="1543"/>
      <c r="H92" s="1543"/>
      <c r="I92" s="1543"/>
      <c r="J92" s="1543"/>
      <c r="K92" s="1543"/>
      <c r="L92" s="1543"/>
      <c r="M92" s="1543"/>
      <c r="N92" s="1543"/>
      <c r="O92" s="1543"/>
      <c r="P92" s="1543"/>
      <c r="Q92" s="1543"/>
      <c r="R92" s="1543"/>
      <c r="S92" s="1543"/>
      <c r="T92" s="1543"/>
      <c r="U92" s="1543"/>
      <c r="V92" s="1543"/>
      <c r="W92" s="1543"/>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543"/>
      <c r="AS92" s="1543"/>
      <c r="AT92" s="1543"/>
      <c r="AU92" s="20"/>
      <c r="AV92" s="20"/>
      <c r="AW92" s="20"/>
      <c r="AX92" s="20"/>
      <c r="AY92" s="20"/>
      <c r="AZ92" s="20"/>
      <c r="BD92" s="1248" t="s">
        <v>2587</v>
      </c>
      <c r="BE92" s="1249" t="str">
        <f>Application!M234</f>
        <v>San Luis Obispo</v>
      </c>
    </row>
    <row r="93" spans="1:57" ht="12.9" customHeight="1">
      <c r="A93" s="1543"/>
      <c r="B93" s="1543"/>
      <c r="C93" s="1543"/>
      <c r="D93" s="1543"/>
      <c r="E93" s="1543"/>
      <c r="F93" s="1543"/>
      <c r="G93" s="1543"/>
      <c r="H93" s="1543"/>
      <c r="I93" s="1543"/>
      <c r="J93" s="1543"/>
      <c r="K93" s="1543"/>
      <c r="L93" s="1543"/>
      <c r="M93" s="1543"/>
      <c r="N93" s="1543"/>
      <c r="O93" s="1543"/>
      <c r="P93" s="1543"/>
      <c r="Q93" s="1543"/>
      <c r="R93" s="1543"/>
      <c r="S93" s="1543"/>
      <c r="T93" s="1543"/>
      <c r="U93" s="1543"/>
      <c r="V93" s="1543"/>
      <c r="W93" s="1543"/>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543"/>
      <c r="AS93" s="1543"/>
      <c r="AT93" s="1543"/>
      <c r="AU93" s="20"/>
      <c r="AV93" s="20"/>
      <c r="AW93" s="20"/>
      <c r="AX93" s="20"/>
      <c r="AY93" s="20"/>
      <c r="AZ93" s="20"/>
      <c r="BD93" s="1247" t="s">
        <v>2588</v>
      </c>
      <c r="BE93" s="1249" t="str">
        <f>Application!W234</f>
        <v>CA</v>
      </c>
    </row>
    <row r="94" spans="1:57" ht="12.9" customHeight="1">
      <c r="A94" s="1543"/>
      <c r="B94" s="1543"/>
      <c r="C94" s="1543"/>
      <c r="D94" s="1543"/>
      <c r="E94" s="1543"/>
      <c r="F94" s="1543"/>
      <c r="G94" s="1543"/>
      <c r="H94" s="1543"/>
      <c r="I94" s="1543"/>
      <c r="J94" s="1543"/>
      <c r="K94" s="1543"/>
      <c r="L94" s="1543"/>
      <c r="M94" s="1543"/>
      <c r="N94" s="1543"/>
      <c r="O94" s="1543"/>
      <c r="P94" s="1543"/>
      <c r="Q94" s="1543"/>
      <c r="R94" s="1543"/>
      <c r="S94" s="1543"/>
      <c r="T94" s="1543"/>
      <c r="U94" s="1543"/>
      <c r="V94" s="1543"/>
      <c r="W94" s="1543"/>
      <c r="X94" s="1543"/>
      <c r="Y94" s="1543"/>
      <c r="Z94" s="1543"/>
      <c r="AA94" s="1543"/>
      <c r="AB94" s="1543"/>
      <c r="AC94" s="1543"/>
      <c r="AD94" s="1543"/>
      <c r="AE94" s="1543"/>
      <c r="AF94" s="1543"/>
      <c r="AG94" s="1543"/>
      <c r="AH94" s="1543"/>
      <c r="AI94" s="1543"/>
      <c r="AJ94" s="1543"/>
      <c r="AK94" s="1543"/>
      <c r="AL94" s="1543"/>
      <c r="AM94" s="1543"/>
      <c r="AN94" s="1543"/>
      <c r="AO94" s="1543"/>
      <c r="AP94" s="1543"/>
      <c r="AQ94" s="1543"/>
      <c r="AR94" s="1543"/>
      <c r="AS94" s="1543"/>
      <c r="AT94" s="1543"/>
      <c r="AU94" s="20"/>
      <c r="AV94" s="20"/>
      <c r="AW94" s="20"/>
      <c r="AX94" s="20"/>
      <c r="AY94" s="20"/>
      <c r="AZ94" s="20"/>
      <c r="BD94" s="1248" t="s">
        <v>2589</v>
      </c>
      <c r="BE94" s="1249">
        <f>Application!AC234</f>
        <v>93401</v>
      </c>
    </row>
    <row r="95" spans="1:57" ht="12.9" customHeight="1">
      <c r="A95" s="1543"/>
      <c r="B95" s="1543"/>
      <c r="C95" s="1543"/>
      <c r="D95" s="1543"/>
      <c r="E95" s="1543"/>
      <c r="F95" s="1543"/>
      <c r="G95" s="1543"/>
      <c r="H95" s="1543"/>
      <c r="I95" s="1543"/>
      <c r="J95" s="1543"/>
      <c r="K95" s="1543"/>
      <c r="L95" s="1543"/>
      <c r="M95" s="1543"/>
      <c r="N95" s="1543"/>
      <c r="O95" s="1543"/>
      <c r="P95" s="1543"/>
      <c r="Q95" s="1543"/>
      <c r="R95" s="1543"/>
      <c r="S95" s="1543"/>
      <c r="T95" s="1543"/>
      <c r="U95" s="1543"/>
      <c r="V95" s="1543"/>
      <c r="W95" s="1543"/>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543"/>
      <c r="AS95" s="1543"/>
      <c r="AT95" s="1543"/>
      <c r="AU95" s="20"/>
      <c r="AV95" s="20"/>
      <c r="AW95" s="20"/>
      <c r="AX95" s="20"/>
      <c r="AY95" s="20"/>
      <c r="AZ95" s="20"/>
      <c r="BD95" s="1247" t="s">
        <v>2590</v>
      </c>
      <c r="BE95" s="1249" t="str">
        <f>Application!M235</f>
        <v>Jim Rendler</v>
      </c>
    </row>
    <row r="96" spans="1:57" ht="12.9" customHeight="1">
      <c r="A96" s="1543"/>
      <c r="B96" s="1543"/>
      <c r="C96" s="1543"/>
      <c r="D96" s="1543"/>
      <c r="E96" s="1543"/>
      <c r="F96" s="1543"/>
      <c r="G96" s="1543"/>
      <c r="H96" s="1543"/>
      <c r="I96" s="1543"/>
      <c r="J96" s="1543"/>
      <c r="K96" s="1543"/>
      <c r="L96" s="1543"/>
      <c r="M96" s="1543"/>
      <c r="N96" s="1543"/>
      <c r="O96" s="1543"/>
      <c r="P96" s="1543"/>
      <c r="Q96" s="1543"/>
      <c r="R96" s="1543"/>
      <c r="S96" s="1543"/>
      <c r="T96" s="1543"/>
      <c r="U96" s="1543"/>
      <c r="V96" s="1543"/>
      <c r="W96" s="1543"/>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543"/>
      <c r="AS96" s="1543"/>
      <c r="AT96" s="1543"/>
      <c r="AU96" s="20"/>
      <c r="AV96" s="20"/>
      <c r="AW96" s="20"/>
      <c r="AX96" s="20"/>
      <c r="AY96" s="20"/>
      <c r="AZ96" s="20"/>
      <c r="BD96" s="1248" t="s">
        <v>2591</v>
      </c>
      <c r="BE96" s="1249" t="str">
        <f>Application!M237</f>
        <v>jrendler@ftfhousing.com</v>
      </c>
    </row>
    <row r="97" spans="1:57" ht="12.9" customHeight="1">
      <c r="A97" s="1543"/>
      <c r="B97" s="1543"/>
      <c r="C97" s="1543"/>
      <c r="D97" s="1543"/>
      <c r="E97" s="1543"/>
      <c r="F97" s="1543"/>
      <c r="G97" s="1543"/>
      <c r="H97" s="1543"/>
      <c r="I97" s="1543"/>
      <c r="J97" s="1543"/>
      <c r="K97" s="1543"/>
      <c r="L97" s="1543"/>
      <c r="M97" s="1543"/>
      <c r="N97" s="1543"/>
      <c r="O97" s="1543"/>
      <c r="P97" s="1543"/>
      <c r="Q97" s="1543"/>
      <c r="R97" s="1543"/>
      <c r="S97" s="1543"/>
      <c r="T97" s="1543"/>
      <c r="U97" s="1543"/>
      <c r="V97" s="1543"/>
      <c r="W97" s="1543"/>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543"/>
      <c r="AS97" s="1543"/>
      <c r="AT97" s="1543"/>
      <c r="AU97" s="20"/>
      <c r="AV97" s="20"/>
      <c r="AW97" s="20"/>
      <c r="AX97" s="20"/>
      <c r="AY97" s="20"/>
      <c r="AZ97" s="20"/>
      <c r="BD97" s="1247" t="s">
        <v>2592</v>
      </c>
      <c r="BE97" s="1249" t="str">
        <f>Application!M248</f>
        <v>jrendler@ftfhousing.com</v>
      </c>
    </row>
    <row r="98" spans="1:57" ht="12.9" customHeight="1">
      <c r="A98" s="1543"/>
      <c r="B98" s="1543"/>
      <c r="C98" s="1543"/>
      <c r="D98" s="1543"/>
      <c r="E98" s="1543"/>
      <c r="F98" s="1543"/>
      <c r="G98" s="1543"/>
      <c r="H98" s="1543"/>
      <c r="I98" s="1543"/>
      <c r="J98" s="1543"/>
      <c r="K98" s="1543"/>
      <c r="L98" s="1543"/>
      <c r="M98" s="1543"/>
      <c r="N98" s="1543"/>
      <c r="O98" s="1543"/>
      <c r="P98" s="1543"/>
      <c r="Q98" s="1543"/>
      <c r="R98" s="1543"/>
      <c r="S98" s="1543"/>
      <c r="T98" s="1543"/>
      <c r="U98" s="1543"/>
      <c r="V98" s="1543"/>
      <c r="W98" s="1543"/>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543"/>
      <c r="AS98" s="1543"/>
      <c r="AT98" s="1543"/>
      <c r="AU98" s="20"/>
      <c r="AV98" s="20"/>
      <c r="AW98" s="20"/>
      <c r="AX98" s="20"/>
      <c r="AY98" s="20"/>
      <c r="AZ98" s="20"/>
      <c r="BD98" s="1248" t="s">
        <v>2593</v>
      </c>
      <c r="BE98" s="1249" t="str">
        <f>Application!M256</f>
        <v>mwiese@pacifichousing.com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t="str">
        <f>Application!M264</f>
        <v>mwiese@pacifichousing.com</v>
      </c>
    </row>
    <row r="100" spans="1:57" ht="12.9" customHeight="1">
      <c r="A100" s="1554" t="s">
        <v>2167</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2595</v>
      </c>
      <c r="BE100" s="1249" t="str">
        <f>Application!L279</f>
        <v>jrendler@ftfhousing.com</v>
      </c>
    </row>
    <row r="101" spans="1:57" ht="12.9"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2600</v>
      </c>
      <c r="BE101">
        <f>'Sources and Uses Budget'!C105</f>
        <v>44289019</v>
      </c>
    </row>
    <row r="102" spans="1:57" ht="12.9"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2601</v>
      </c>
      <c r="BE102" t="b">
        <f>T197="Yes"</f>
        <v>0</v>
      </c>
    </row>
    <row r="103" spans="1:57" ht="12.9"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2177</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554" t="s">
        <v>2168</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2.9"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547"/>
      <c r="H113" s="1547"/>
      <c r="I113" s="3" t="s">
        <v>182</v>
      </c>
      <c r="L113" s="1547"/>
      <c r="M113" s="1547"/>
      <c r="N113" s="1547"/>
      <c r="O113" s="1547"/>
      <c r="P113" s="1561" t="s">
        <v>2242</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548"/>
      <c r="D115" s="1548"/>
      <c r="E115" s="1548"/>
      <c r="F115" s="1548"/>
      <c r="G115" s="1548"/>
      <c r="H115" s="1548"/>
      <c r="I115" s="1548"/>
      <c r="J115" s="1548"/>
      <c r="K115" s="154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629</v>
      </c>
      <c r="Y117" s="1547"/>
      <c r="Z117" s="1547"/>
      <c r="AA117" s="1547"/>
      <c r="AB117" s="1547"/>
      <c r="AC117" s="1547"/>
      <c r="AD117" s="1547"/>
      <c r="AE117" s="1547"/>
      <c r="AF117" s="1547"/>
      <c r="AG117" s="1547"/>
      <c r="AH117" s="1547"/>
      <c r="AI117" s="1547"/>
      <c r="AJ117" s="1547"/>
      <c r="AK117" s="1547"/>
    </row>
    <row r="118" spans="1:117" ht="12.9" customHeight="1">
      <c r="X118" s="3"/>
      <c r="Y118" s="3"/>
      <c r="Z118" s="3" t="s">
        <v>630</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547"/>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3" t="s">
        <v>470</v>
      </c>
      <c r="CV122" s="1694"/>
      <c r="CW122" s="14"/>
      <c r="CX122" s="14" t="s">
        <v>635</v>
      </c>
      <c r="CY122" s="14"/>
      <c r="CZ122" s="14"/>
      <c r="DA122" s="14"/>
      <c r="DB122" s="14"/>
      <c r="DC122" s="14"/>
      <c r="DD122" s="14"/>
      <c r="DE122" s="14"/>
      <c r="DF122" s="14"/>
      <c r="DG122" s="1690" t="str">
        <f>T189</f>
        <v>Santa Cruz</v>
      </c>
      <c r="DH122" s="1691"/>
      <c r="DI122" s="1691"/>
      <c r="DJ122" s="1691"/>
      <c r="DK122" s="1691"/>
      <c r="DL122" s="1691"/>
      <c r="DM122" s="1692"/>
    </row>
    <row r="123" spans="1:117" ht="12.9" customHeight="1">
      <c r="A123" s="3"/>
      <c r="B123" s="3"/>
      <c r="T123" s="3"/>
      <c r="U123" s="3"/>
      <c r="V123" s="3"/>
      <c r="W123" s="3"/>
      <c r="X123" s="3"/>
      <c r="Y123" s="1547"/>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 customHeight="1">
      <c r="BM152">
        <v>4</v>
      </c>
      <c r="BN152" s="3" t="s">
        <v>2467</v>
      </c>
    </row>
    <row r="153" spans="1:108" ht="12.9" customHeight="1">
      <c r="D153" t="s">
        <v>646</v>
      </c>
      <c r="O153" s="1522" t="s">
        <v>2614</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2469</v>
      </c>
      <c r="CR153" s="31" t="s">
        <v>2602</v>
      </c>
      <c r="CS153" s="32"/>
      <c r="CT153" s="32"/>
      <c r="CU153" s="32"/>
      <c r="CV153" s="32"/>
      <c r="CW153" s="32"/>
      <c r="CX153" s="14"/>
      <c r="CY153" s="31" t="s">
        <v>2603</v>
      </c>
      <c r="CZ153" s="14"/>
      <c r="DA153" s="14"/>
      <c r="DB153" s="14"/>
      <c r="DC153" s="14"/>
      <c r="DD153" s="14"/>
    </row>
    <row r="154" spans="1:108" ht="12.9" customHeight="1">
      <c r="D154" s="303" t="s">
        <v>440</v>
      </c>
      <c r="O154" s="1532" t="s">
        <v>2615</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 customHeight="1">
      <c r="D156" t="s">
        <v>313</v>
      </c>
      <c r="O156" s="1407" t="s">
        <v>2633</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522" t="s">
        <v>193</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557">
        <v>95060</v>
      </c>
      <c r="P158" s="1557"/>
      <c r="Q158" s="1557"/>
      <c r="R158" s="1557"/>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552" t="s">
        <v>2634</v>
      </c>
      <c r="P159" s="1552"/>
      <c r="Q159" s="1552"/>
      <c r="R159" s="1552"/>
      <c r="S159" s="1552"/>
      <c r="T159" s="1552"/>
      <c r="V159" s="97" t="s">
        <v>271</v>
      </c>
      <c r="W159" s="1558"/>
      <c r="X159" s="1558"/>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 customHeight="1">
      <c r="D160" t="s">
        <v>317</v>
      </c>
      <c r="O160" s="1552" t="s">
        <v>2635</v>
      </c>
      <c r="P160" s="1552"/>
      <c r="Q160" s="1552"/>
      <c r="R160" s="1552"/>
      <c r="S160" s="1552"/>
      <c r="T160" s="155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 customHeight="1">
      <c r="D161" t="s">
        <v>318</v>
      </c>
      <c r="O161" s="1539" t="s">
        <v>2636</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 customHeight="1">
      <c r="C164" s="27"/>
      <c r="D164" s="1549" t="s">
        <v>2218</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 customHeight="1">
      <c r="A169" s="1534" t="s">
        <v>540</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 customHeight="1">
      <c r="C175" s="8"/>
      <c r="D175" s="3" t="s">
        <v>322</v>
      </c>
      <c r="O175" s="27"/>
      <c r="U175" s="1415"/>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 customHeight="1">
      <c r="C176" s="8"/>
      <c r="D176" s="26"/>
      <c r="E176" t="s">
        <v>304</v>
      </c>
      <c r="O176" s="27"/>
      <c r="P176" t="s">
        <v>2081</v>
      </c>
      <c r="T176" s="27" t="s">
        <v>305</v>
      </c>
      <c r="U176" s="1509"/>
      <c r="V176" s="1509"/>
      <c r="W176" s="1" t="s">
        <v>306</v>
      </c>
      <c r="X176" s="1565"/>
      <c r="Y176" s="1565"/>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 customHeight="1">
      <c r="C178" s="24"/>
      <c r="D178" s="3" t="s">
        <v>1204</v>
      </c>
      <c r="AA178" t="s">
        <v>2081</v>
      </c>
      <c r="AE178" s="27" t="s">
        <v>305</v>
      </c>
      <c r="AF178" s="1564"/>
      <c r="AG178" s="1564"/>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 customHeight="1">
      <c r="C184" s="21"/>
      <c r="D184" t="s">
        <v>579</v>
      </c>
      <c r="I184" s="1483" t="str">
        <f>H18</f>
        <v>136 River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 customHeight="1">
      <c r="C185" s="21"/>
      <c r="D185" t="s">
        <v>580</v>
      </c>
      <c r="I185" s="1371" t="s">
        <v>2616</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 customHeight="1">
      <c r="C189" s="21"/>
      <c r="D189" t="s">
        <v>581</v>
      </c>
      <c r="I189" s="1522" t="s">
        <v>193</v>
      </c>
      <c r="J189" s="1407"/>
      <c r="K189" s="1407"/>
      <c r="L189" s="1407"/>
      <c r="M189" s="1407"/>
      <c r="N189" s="1407"/>
      <c r="O189" s="1407"/>
      <c r="P189" s="1407"/>
      <c r="Q189" t="s">
        <v>583</v>
      </c>
      <c r="T189" s="1407" t="s">
        <v>193</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 customHeight="1">
      <c r="C190" s="21"/>
      <c r="D190" t="s">
        <v>584</v>
      </c>
      <c r="I190" s="1371">
        <v>95060</v>
      </c>
      <c r="J190" s="1371"/>
      <c r="K190" s="1371"/>
      <c r="L190" s="1371"/>
      <c r="M190" s="1371"/>
      <c r="N190" s="1371"/>
      <c r="O190" t="s">
        <v>586</v>
      </c>
      <c r="T190" s="1555">
        <v>1007</v>
      </c>
      <c r="U190" s="1555"/>
      <c r="V190" s="1555"/>
      <c r="W190" s="1555"/>
      <c r="X190" s="1555"/>
      <c r="Y190" s="1555"/>
      <c r="Z190" s="1555"/>
      <c r="AA190" s="1555"/>
      <c r="AB190" s="1555"/>
      <c r="AC190" s="1555"/>
      <c r="AD190" s="1555"/>
      <c r="AE190" s="1555"/>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 customHeight="1">
      <c r="C191" s="21"/>
      <c r="D191" t="s">
        <v>463</v>
      </c>
      <c r="N191" s="1528" t="s">
        <v>2637</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 customHeight="1">
      <c r="C193" s="21"/>
      <c r="D193" t="s">
        <v>2083</v>
      </c>
      <c r="M193" s="40"/>
      <c r="N193" s="894"/>
      <c r="O193" s="894"/>
      <c r="P193" s="894"/>
      <c r="Q193" s="894"/>
      <c r="R193" s="894"/>
      <c r="S193" s="894"/>
      <c r="T193" s="1559" t="s">
        <v>1971</v>
      </c>
      <c r="U193" s="1559"/>
      <c r="V193" s="1559"/>
      <c r="W193" s="1559"/>
      <c r="X193" s="1559"/>
      <c r="Y193" s="1559"/>
      <c r="Z193" s="1559"/>
      <c r="AA193" s="1559"/>
      <c r="AB193" s="1559"/>
      <c r="AC193" s="1559"/>
      <c r="AD193" s="1559"/>
      <c r="AE193" s="1559"/>
      <c r="AF193" s="1559"/>
      <c r="AG193" s="1559"/>
      <c r="AH193" s="1559"/>
      <c r="AI193" s="1559"/>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 customHeight="1">
      <c r="C195" s="21"/>
      <c r="D195" t="s">
        <v>331</v>
      </c>
      <c r="T195" s="1415" t="s">
        <v>546</v>
      </c>
      <c r="U195" s="1415"/>
      <c r="W195" t="s">
        <v>685</v>
      </c>
      <c r="AH195" s="1415">
        <v>18</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 customHeight="1">
      <c r="C196" s="21"/>
      <c r="D196" t="s">
        <v>386</v>
      </c>
      <c r="T196" s="1427" t="s">
        <v>546</v>
      </c>
      <c r="U196" s="1427"/>
      <c r="W196" t="s">
        <v>686</v>
      </c>
      <c r="AH196" s="1415">
        <v>28</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 customHeight="1">
      <c r="C197" s="21"/>
      <c r="D197" s="3" t="s">
        <v>169</v>
      </c>
      <c r="T197" s="1427" t="s">
        <v>670</v>
      </c>
      <c r="U197" s="1427"/>
      <c r="W197" t="s">
        <v>687</v>
      </c>
      <c r="AH197" s="1415">
        <v>17</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 customHeight="1">
      <c r="A198"/>
      <c r="B198"/>
      <c r="C198" s="21"/>
      <c r="D198" s="3" t="s">
        <v>1653</v>
      </c>
      <c r="E198"/>
      <c r="F198"/>
      <c r="G198"/>
      <c r="H198"/>
      <c r="I198"/>
      <c r="J198"/>
      <c r="K198"/>
      <c r="L198"/>
      <c r="M198"/>
      <c r="N198"/>
      <c r="O198"/>
      <c r="P198"/>
      <c r="Q198"/>
      <c r="R198"/>
      <c r="S198"/>
      <c r="T198" s="1427"/>
      <c r="U198" s="1427"/>
      <c r="V198"/>
      <c r="X198" s="1535" t="s">
        <v>2516</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 customHeight="1">
      <c r="A199"/>
      <c r="B199"/>
      <c r="C199" s="21"/>
      <c r="D199" s="118" t="s">
        <v>2519</v>
      </c>
      <c r="E199"/>
      <c r="F199"/>
      <c r="G199"/>
      <c r="H199"/>
      <c r="I199"/>
      <c r="J199"/>
      <c r="K199"/>
      <c r="L199"/>
      <c r="M199"/>
      <c r="N199"/>
      <c r="O199"/>
      <c r="P199"/>
      <c r="Q199"/>
      <c r="R199"/>
      <c r="S199"/>
      <c r="T199" s="1415"/>
      <c r="U199" s="1415"/>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 customHeight="1">
      <c r="A200"/>
      <c r="B200"/>
      <c r="C200" s="21"/>
      <c r="D200" s="14" t="s">
        <v>2517</v>
      </c>
      <c r="T200" s="1415"/>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 customHeight="1">
      <c r="D204" s="1483" t="s">
        <v>385</v>
      </c>
      <c r="E204" s="1483"/>
      <c r="F204" s="1483"/>
      <c r="G204" s="1483"/>
      <c r="H204" s="1483"/>
      <c r="I204" s="1483"/>
      <c r="J204" s="1483"/>
      <c r="K204" s="1483"/>
      <c r="L204" s="1483"/>
      <c r="M204" s="1483"/>
      <c r="P204" s="1550">
        <f>M26</f>
        <v>2147774</v>
      </c>
      <c r="Q204" s="1551"/>
      <c r="R204" s="1551"/>
      <c r="S204" s="1551"/>
      <c r="T204" s="1551"/>
      <c r="U204" s="1551"/>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 customHeight="1">
      <c r="C205" s="21"/>
      <c r="D205" s="1537" t="s">
        <v>1248</v>
      </c>
      <c r="E205" s="1483"/>
      <c r="F205" s="1483"/>
      <c r="G205" s="1483"/>
      <c r="H205" s="1483"/>
      <c r="I205" s="1483"/>
      <c r="J205" s="1483"/>
      <c r="K205" s="1483"/>
      <c r="L205" s="1483"/>
      <c r="M205" s="1483"/>
      <c r="P205" s="1551">
        <f>M27</f>
        <v>9999036</v>
      </c>
      <c r="Q205" s="1551"/>
      <c r="R205" s="1551"/>
      <c r="S205" s="1551"/>
      <c r="T205" s="1551"/>
      <c r="U205" s="1551"/>
      <c r="V205" s="28"/>
      <c r="W205" s="3" t="s">
        <v>1721</v>
      </c>
      <c r="Z205" s="1533" t="s">
        <v>2221</v>
      </c>
      <c r="AA205" s="1533"/>
      <c r="AB205" s="1533"/>
      <c r="AC205" s="1533"/>
      <c r="AD205" s="1533"/>
      <c r="AE205" s="1533"/>
      <c r="AF205" s="1533"/>
      <c r="AG205" s="1533"/>
      <c r="AH205" s="1533"/>
      <c r="AI205" s="1533"/>
      <c r="AJ205" s="1533"/>
      <c r="AK205" s="1533"/>
      <c r="AL205" s="1533"/>
      <c r="AM205" s="1533"/>
      <c r="AN205" s="1533"/>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 customHeight="1">
      <c r="C208" s="21"/>
      <c r="D208" s="1525" t="s">
        <v>2617</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2233</v>
      </c>
      <c r="Q212" s="1415">
        <v>0</v>
      </c>
      <c r="R212" s="1415"/>
      <c r="T212" s="1562">
        <f>IFERROR(Q212/AG440,0)</f>
        <v>0</v>
      </c>
      <c r="U212" s="1563"/>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545" t="s">
        <v>592</v>
      </c>
      <c r="E214" s="1545"/>
      <c r="F214" s="1545"/>
      <c r="G214" s="1545"/>
      <c r="H214" s="1545"/>
      <c r="I214" s="1545"/>
      <c r="J214" s="1545"/>
      <c r="K214" s="1545"/>
      <c r="L214" s="1545"/>
      <c r="M214" s="1545"/>
      <c r="N214" s="1545"/>
      <c r="O214" s="1545"/>
      <c r="P214" s="1545"/>
      <c r="Q214" s="1545"/>
      <c r="R214" s="1545"/>
      <c r="S214" s="1545"/>
      <c r="T214" s="1545"/>
      <c r="U214" s="1545"/>
      <c r="V214" s="1545"/>
      <c r="W214" s="1545"/>
      <c r="X214" s="1545"/>
      <c r="Y214" s="1545"/>
      <c r="Z214" s="1545"/>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1654</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1652</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 customHeight="1">
      <c r="A218" s="2" t="s">
        <v>593</v>
      </c>
      <c r="C218" s="2" t="s">
        <v>2236</v>
      </c>
      <c r="D218" s="28"/>
      <c r="AC218" s="2" t="s">
        <v>2465</v>
      </c>
      <c r="BC218" t="s">
        <v>530</v>
      </c>
    </row>
    <row r="219" spans="1:108" ht="12.9" customHeight="1">
      <c r="A219" s="2"/>
      <c r="C219" s="2"/>
      <c r="D219" s="3" t="s">
        <v>2466</v>
      </c>
      <c r="AZ219" s="3"/>
      <c r="BA219" s="3"/>
      <c r="BC219" t="s">
        <v>377</v>
      </c>
    </row>
    <row r="220" spans="1:108" ht="12.9" customHeight="1">
      <c r="A220" s="2"/>
      <c r="C220" s="2"/>
      <c r="D220" s="1525" t="s">
        <v>2208</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6" t="s">
        <v>2467</v>
      </c>
      <c r="AD220" s="1536"/>
      <c r="AE220" s="1536"/>
      <c r="AF220" s="1536"/>
      <c r="AG220" s="1536"/>
      <c r="AH220" s="1536"/>
      <c r="AI220" s="1536"/>
      <c r="AJ220" s="1536"/>
      <c r="AK220" s="1536"/>
      <c r="AL220" s="1536"/>
      <c r="AM220" s="1536"/>
      <c r="AN220" s="1536"/>
      <c r="AO220" s="1536"/>
      <c r="AP220" s="1536"/>
      <c r="AQ220" s="1536"/>
      <c r="BA220" s="3"/>
      <c r="BC220" t="s">
        <v>300</v>
      </c>
    </row>
    <row r="221" spans="1:108" ht="12.9" customHeight="1">
      <c r="A221" s="2"/>
      <c r="B221" s="14"/>
      <c r="C221" s="2"/>
      <c r="BA221" s="3"/>
    </row>
    <row r="222" spans="1:108" ht="12.9" customHeight="1">
      <c r="A222" s="1534" t="s">
        <v>541</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2.9"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2.9" customHeight="1">
      <c r="AZ224" s="4"/>
      <c r="BA224" s="3"/>
      <c r="BB224" s="3"/>
      <c r="BQ224" s="34"/>
    </row>
    <row r="225" spans="1:59" ht="12.9"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471</v>
      </c>
      <c r="E232" s="4"/>
      <c r="F232" s="4"/>
      <c r="G232" s="4"/>
      <c r="H232" s="4"/>
      <c r="I232" s="4"/>
      <c r="J232" s="4"/>
      <c r="K232" s="4"/>
      <c r="M232" s="1556" t="str">
        <f>H16</f>
        <v>136 River Apartments Investors, L.P., a to be formed Limited Partnership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539</v>
      </c>
      <c r="BG232" s="241">
        <f>IF(AND(AND($M$249="nonprofit",$M$257="nonprofit",$M$265="for profit")),2,0)</f>
        <v>0</v>
      </c>
    </row>
    <row r="233" spans="1:59" ht="12.9" customHeight="1">
      <c r="D233" s="4" t="s">
        <v>85</v>
      </c>
      <c r="E233" s="4"/>
      <c r="F233" s="4"/>
      <c r="G233" s="4"/>
      <c r="H233" s="4"/>
      <c r="I233" s="4"/>
      <c r="J233" s="4"/>
      <c r="K233" s="4"/>
      <c r="M233" s="1522" t="s">
        <v>2638</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 customHeight="1">
      <c r="D234" s="4" t="s">
        <v>581</v>
      </c>
      <c r="E234" s="4"/>
      <c r="M234" s="1522" t="s">
        <v>69</v>
      </c>
      <c r="N234" s="1525"/>
      <c r="O234" s="1525"/>
      <c r="P234" s="1525"/>
      <c r="Q234" s="1525"/>
      <c r="R234" s="1525"/>
      <c r="S234" s="1525"/>
      <c r="T234" s="1525"/>
      <c r="V234" s="33" t="s">
        <v>86</v>
      </c>
      <c r="W234" s="1532" t="s">
        <v>2639</v>
      </c>
      <c r="X234" s="1471"/>
      <c r="Y234" s="4" t="s">
        <v>584</v>
      </c>
      <c r="AC234" s="1525">
        <v>93401</v>
      </c>
      <c r="AD234" s="1525"/>
      <c r="AE234" s="1525"/>
      <c r="AU234" s="4"/>
      <c r="AV234" s="4"/>
      <c r="AW234" s="4"/>
      <c r="AX234" s="4"/>
      <c r="AY234" s="4"/>
      <c r="AZ234" s="4"/>
      <c r="BB234" s="205" t="s">
        <v>539</v>
      </c>
      <c r="BG234" s="240">
        <f>IF(AND(AND($M$249="for profit",$M$257="nonprofit",$M$265="nonprofit")),2,0)</f>
        <v>2</v>
      </c>
    </row>
    <row r="235" spans="1:59" ht="12.9" customHeight="1">
      <c r="D235" s="4" t="s">
        <v>87</v>
      </c>
      <c r="E235" s="4"/>
      <c r="F235" s="4"/>
      <c r="G235" s="4"/>
      <c r="H235" s="4"/>
      <c r="I235" s="4"/>
      <c r="J235" s="4"/>
      <c r="K235" s="19"/>
      <c r="M235" s="1522" t="s">
        <v>2640</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 customHeight="1">
      <c r="D236" s="4" t="s">
        <v>88</v>
      </c>
      <c r="E236" s="4"/>
      <c r="F236" s="4"/>
      <c r="M236" s="1546" t="s">
        <v>2641</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 customHeight="1">
      <c r="D237" s="4" t="s">
        <v>90</v>
      </c>
      <c r="E237" s="4"/>
      <c r="F237" s="4"/>
      <c r="M237" s="1539" t="s">
        <v>2642</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0"/>
      <c r="AB238" s="1560"/>
      <c r="AC238" s="1560"/>
      <c r="AD238" s="1560"/>
      <c r="AE238" s="1560"/>
      <c r="AF238" s="1560"/>
      <c r="AG238" s="1560"/>
      <c r="AH238" s="1560"/>
      <c r="AI238" s="1560"/>
      <c r="AJ238" s="1560"/>
      <c r="AK238" s="1560"/>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 customHeight="1">
      <c r="D240" s="4"/>
      <c r="BB240" s="204" t="s">
        <v>878</v>
      </c>
      <c r="BG240" s="241">
        <f>IF(AND(AND($M$249="for profit",$M$257="for profit",$M$265="for profit")),3,0)</f>
        <v>0</v>
      </c>
    </row>
    <row r="241" spans="1:67" ht="12.9"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474</v>
      </c>
      <c r="D243" s="4" t="s">
        <v>533</v>
      </c>
      <c r="E243" s="4"/>
      <c r="F243" s="4"/>
      <c r="G243" s="4"/>
      <c r="H243" s="4"/>
      <c r="I243" s="4"/>
      <c r="J243" s="4"/>
      <c r="K243" s="4"/>
      <c r="L243" s="4"/>
      <c r="M243" s="1566" t="s">
        <v>2643</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2722</v>
      </c>
      <c r="AG243" s="1541"/>
      <c r="AH243" s="1541"/>
      <c r="AI243" s="1541"/>
      <c r="AJ243" s="1541"/>
      <c r="AK243" s="1541"/>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525" t="s">
        <v>2638</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 customHeight="1">
      <c r="A245" s="19"/>
      <c r="B245" s="4"/>
      <c r="C245" s="4"/>
      <c r="D245" s="4" t="s">
        <v>581</v>
      </c>
      <c r="E245" s="4"/>
      <c r="M245" s="1525" t="s">
        <v>69</v>
      </c>
      <c r="N245" s="1525"/>
      <c r="O245" s="1525"/>
      <c r="P245" s="1525"/>
      <c r="Q245" s="1525"/>
      <c r="R245" s="1525"/>
      <c r="S245" s="1525"/>
      <c r="T245" s="1525"/>
      <c r="V245" s="33" t="s">
        <v>86</v>
      </c>
      <c r="W245" s="1471"/>
      <c r="X245" s="1471"/>
      <c r="Y245" s="4" t="s">
        <v>584</v>
      </c>
      <c r="AC245" s="1525"/>
      <c r="AD245" s="1525"/>
      <c r="AE245" s="1525"/>
      <c r="AF245" s="3" t="s">
        <v>1181</v>
      </c>
      <c r="AU245" s="4"/>
      <c r="AV245" s="4"/>
      <c r="AW245" s="4"/>
      <c r="AX245" s="4"/>
      <c r="AY245" s="4"/>
      <c r="BB245" s="4" t="s">
        <v>280</v>
      </c>
      <c r="BG245">
        <v>2</v>
      </c>
      <c r="BH245" t="s">
        <v>567</v>
      </c>
      <c r="BO245" s="239" t="str">
        <f>VLOOKUP(BG243,BG244:BH247,2,FALSE)</f>
        <v>Joint Venture</v>
      </c>
    </row>
    <row r="246" spans="1:67" ht="12.9" customHeight="1">
      <c r="A246" s="19"/>
      <c r="B246" s="4"/>
      <c r="C246" s="4"/>
      <c r="D246" s="4" t="s">
        <v>87</v>
      </c>
      <c r="E246" s="4"/>
      <c r="F246" s="4"/>
      <c r="G246" s="4"/>
      <c r="H246" s="4"/>
      <c r="I246" s="4"/>
      <c r="J246" s="4"/>
      <c r="K246" s="4"/>
      <c r="L246" s="19"/>
      <c r="M246" s="1525" t="s">
        <v>2640</v>
      </c>
      <c r="N246" s="1525"/>
      <c r="O246" s="1525"/>
      <c r="P246" s="1525"/>
      <c r="Q246" s="1525"/>
      <c r="R246" s="1525"/>
      <c r="S246" s="1525"/>
      <c r="T246" s="1525"/>
      <c r="U246" s="1525"/>
      <c r="V246" s="1525"/>
      <c r="W246" s="1525"/>
      <c r="X246" s="1525"/>
      <c r="Y246" s="1525"/>
      <c r="Z246" s="1525"/>
      <c r="AA246" s="1525"/>
      <c r="AB246" s="1525"/>
      <c r="AC246" s="1525"/>
      <c r="AD246" s="1525"/>
      <c r="AE246" s="1525"/>
      <c r="AH246" s="1538">
        <v>51</v>
      </c>
      <c r="AI246" s="1538"/>
      <c r="AJ246" s="1538"/>
      <c r="AK246" s="1538"/>
      <c r="AL246" s="4"/>
      <c r="AM246" s="4"/>
      <c r="AN246" s="4"/>
      <c r="AO246" s="4"/>
      <c r="AP246" s="4"/>
      <c r="AQ246" s="4"/>
      <c r="AR246" s="4"/>
      <c r="AS246" s="4"/>
      <c r="AT246" s="4"/>
      <c r="BB246" s="4" t="s">
        <v>173</v>
      </c>
      <c r="BG246">
        <v>3</v>
      </c>
      <c r="BH246" t="s">
        <v>537</v>
      </c>
      <c r="BN246" s="34"/>
    </row>
    <row r="247" spans="1:67" ht="12.9" customHeight="1">
      <c r="A247" s="19"/>
      <c r="B247" s="4"/>
      <c r="C247" s="4"/>
      <c r="D247" s="4" t="s">
        <v>88</v>
      </c>
      <c r="E247" s="4"/>
      <c r="F247" s="4"/>
      <c r="M247" s="1487" t="s">
        <v>2641</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 customHeight="1">
      <c r="A248" s="19"/>
      <c r="B248" s="4"/>
      <c r="C248" s="4"/>
      <c r="D248" s="4" t="s">
        <v>90</v>
      </c>
      <c r="E248" s="4"/>
      <c r="F248" s="4"/>
      <c r="M248" s="1539" t="s">
        <v>2642</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67" ht="12.9"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60"/>
      <c r="AB249" s="1560"/>
      <c r="AC249" s="1560"/>
      <c r="AD249" s="1560"/>
      <c r="AE249" s="1560"/>
      <c r="AF249" s="1560"/>
      <c r="AG249" s="1560"/>
      <c r="AH249" s="1560"/>
      <c r="AI249" s="1560"/>
      <c r="AJ249" s="1560"/>
      <c r="AK249" s="1560"/>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956</v>
      </c>
      <c r="E251" s="4"/>
      <c r="F251" s="4"/>
      <c r="G251" s="4"/>
      <c r="H251" s="4"/>
      <c r="I251" s="4"/>
      <c r="J251" s="4"/>
      <c r="K251" s="4"/>
      <c r="L251" s="4"/>
      <c r="M251" s="1541" t="s">
        <v>2644</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2645</v>
      </c>
      <c r="AG251" s="1541"/>
      <c r="AH251" s="1541"/>
      <c r="AI251" s="1541"/>
      <c r="AJ251" s="1541"/>
      <c r="AK251" s="1541"/>
      <c r="AU251" s="4"/>
      <c r="AV251" s="4"/>
      <c r="AW251" s="4"/>
      <c r="AX251" s="4"/>
      <c r="AY251" s="4"/>
      <c r="BN251" s="34"/>
    </row>
    <row r="252" spans="1:67" ht="12.9" customHeight="1">
      <c r="A252" s="19"/>
      <c r="B252" s="4"/>
      <c r="C252" s="4"/>
      <c r="D252" s="4" t="s">
        <v>85</v>
      </c>
      <c r="E252" s="4"/>
      <c r="F252" s="4"/>
      <c r="G252" s="4"/>
      <c r="H252" s="4"/>
      <c r="I252" s="4"/>
      <c r="J252" s="4"/>
      <c r="K252" s="4"/>
      <c r="L252" s="4"/>
      <c r="M252" s="1525" t="s">
        <v>2646</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 customHeight="1">
      <c r="A253" s="19"/>
      <c r="B253" s="4"/>
      <c r="C253" s="4"/>
      <c r="D253" s="4" t="s">
        <v>581</v>
      </c>
      <c r="E253" s="4"/>
      <c r="M253" s="1525" t="s">
        <v>68</v>
      </c>
      <c r="N253" s="1525"/>
      <c r="O253" s="1525"/>
      <c r="P253" s="1525"/>
      <c r="Q253" s="1525"/>
      <c r="R253" s="1525"/>
      <c r="S253" s="1525"/>
      <c r="T253" s="1525"/>
      <c r="V253" s="33" t="s">
        <v>86</v>
      </c>
      <c r="W253" s="1471" t="s">
        <v>2639</v>
      </c>
      <c r="X253" s="1471"/>
      <c r="Y253" s="4" t="s">
        <v>584</v>
      </c>
      <c r="AC253" s="1525">
        <v>95816</v>
      </c>
      <c r="AD253" s="1525"/>
      <c r="AE253" s="1525"/>
      <c r="AF253" s="3" t="s">
        <v>1181</v>
      </c>
      <c r="AU253" s="4"/>
      <c r="AV253" s="4"/>
      <c r="AW253" s="4"/>
      <c r="AX253" s="4"/>
      <c r="AY253" s="4"/>
      <c r="BN253" s="34"/>
    </row>
    <row r="254" spans="1:67" ht="12.9" customHeight="1">
      <c r="A254" s="19"/>
      <c r="B254" s="4"/>
      <c r="C254" s="4"/>
      <c r="D254" s="4" t="s">
        <v>87</v>
      </c>
      <c r="E254" s="4"/>
      <c r="F254" s="4"/>
      <c r="G254" s="4"/>
      <c r="H254" s="4"/>
      <c r="I254" s="4"/>
      <c r="J254" s="4"/>
      <c r="K254" s="4"/>
      <c r="L254" s="19"/>
      <c r="M254" s="1522" t="s">
        <v>2647</v>
      </c>
      <c r="N254" s="1525"/>
      <c r="O254" s="1525"/>
      <c r="P254" s="1525"/>
      <c r="Q254" s="1525"/>
      <c r="R254" s="1525"/>
      <c r="S254" s="1525"/>
      <c r="T254" s="1525"/>
      <c r="U254" s="1525"/>
      <c r="V254" s="1525"/>
      <c r="W254" s="1525"/>
      <c r="X254" s="1525"/>
      <c r="Y254" s="1525"/>
      <c r="Z254" s="1525"/>
      <c r="AA254" s="1525"/>
      <c r="AB254" s="1525"/>
      <c r="AC254" s="1525"/>
      <c r="AD254" s="1525"/>
      <c r="AE254" s="1525"/>
      <c r="AH254" s="1538">
        <v>49</v>
      </c>
      <c r="AI254" s="1538"/>
      <c r="AJ254" s="1538"/>
      <c r="AK254" s="1538"/>
      <c r="AL254" s="4"/>
      <c r="AM254" s="4"/>
      <c r="AN254" s="4"/>
      <c r="AO254" s="4"/>
      <c r="AP254" s="4"/>
      <c r="AQ254" s="4"/>
      <c r="AR254" s="4"/>
      <c r="AS254" s="4"/>
      <c r="AT254" s="4"/>
    </row>
    <row r="255" spans="1:67" ht="12.9" customHeight="1">
      <c r="A255" s="19"/>
      <c r="B255" s="4"/>
      <c r="C255" s="4"/>
      <c r="D255" s="4" t="s">
        <v>88</v>
      </c>
      <c r="E255" s="4"/>
      <c r="F255" s="4"/>
      <c r="M255" s="1546" t="s">
        <v>2648</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 customHeight="1">
      <c r="A256" s="19"/>
      <c r="B256" s="4"/>
      <c r="C256" s="4"/>
      <c r="D256" s="4" t="s">
        <v>90</v>
      </c>
      <c r="E256" s="4"/>
      <c r="F256" s="4"/>
      <c r="M256" s="1539" t="s">
        <v>2649</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74" t="s">
        <v>2629</v>
      </c>
      <c r="AB257" s="1560"/>
      <c r="AC257" s="1560"/>
      <c r="AD257" s="1560"/>
      <c r="AE257" s="1560"/>
      <c r="AF257" s="1560"/>
      <c r="AG257" s="1560"/>
      <c r="AH257" s="1560"/>
      <c r="AI257" s="1560"/>
      <c r="AJ257" s="1560"/>
      <c r="AK257" s="1560"/>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877</v>
      </c>
      <c r="D259" s="4" t="s">
        <v>533</v>
      </c>
      <c r="E259" s="4"/>
      <c r="F259" s="4"/>
      <c r="G259" s="4"/>
      <c r="H259" s="4"/>
      <c r="I259" s="4"/>
      <c r="J259" s="4"/>
      <c r="K259" s="4"/>
      <c r="L259" s="4"/>
      <c r="M259" s="1566" t="s">
        <v>2721</v>
      </c>
      <c r="N259" s="1541"/>
      <c r="O259" s="1541"/>
      <c r="P259" s="1541"/>
      <c r="Q259" s="1541"/>
      <c r="R259" s="1541"/>
      <c r="S259" s="1541"/>
      <c r="T259" s="1541"/>
      <c r="U259" s="1541"/>
      <c r="V259" s="1541"/>
      <c r="W259" s="1541"/>
      <c r="X259" s="1541"/>
      <c r="Y259" s="1541"/>
      <c r="Z259" s="1541"/>
      <c r="AA259" s="1541"/>
      <c r="AB259" s="1541"/>
      <c r="AC259" s="1541"/>
      <c r="AD259" s="1541"/>
      <c r="AE259" s="1541"/>
      <c r="AF259" s="1541" t="s">
        <v>2645</v>
      </c>
      <c r="AG259" s="1541"/>
      <c r="AH259" s="1541"/>
      <c r="AI259" s="1541"/>
      <c r="AJ259" s="1541"/>
      <c r="AK259" s="1541"/>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525" t="s">
        <v>2646</v>
      </c>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 customHeight="1">
      <c r="A261" s="13"/>
      <c r="B261" s="4"/>
      <c r="C261" s="4"/>
      <c r="D261" s="4" t="s">
        <v>581</v>
      </c>
      <c r="E261" s="4"/>
      <c r="M261" s="1525" t="s">
        <v>68</v>
      </c>
      <c r="N261" s="1525"/>
      <c r="O261" s="1525"/>
      <c r="P261" s="1525"/>
      <c r="Q261" s="1525"/>
      <c r="R261" s="1525"/>
      <c r="S261" s="1525"/>
      <c r="T261" s="1525"/>
      <c r="V261" s="33" t="s">
        <v>86</v>
      </c>
      <c r="W261" s="1471" t="s">
        <v>2639</v>
      </c>
      <c r="X261" s="1471"/>
      <c r="Y261" s="4" t="s">
        <v>584</v>
      </c>
      <c r="AC261" s="1525">
        <v>95816</v>
      </c>
      <c r="AD261" s="1525"/>
      <c r="AE261" s="1525"/>
      <c r="AF261" s="3" t="s">
        <v>1181</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525" t="s">
        <v>2647</v>
      </c>
      <c r="N262" s="1525"/>
      <c r="O262" s="1525"/>
      <c r="P262" s="1525"/>
      <c r="Q262" s="1525"/>
      <c r="R262" s="1525"/>
      <c r="S262" s="1525"/>
      <c r="T262" s="1525"/>
      <c r="U262" s="1525"/>
      <c r="V262" s="1525"/>
      <c r="W262" s="1525"/>
      <c r="X262" s="1525"/>
      <c r="Y262" s="1525"/>
      <c r="Z262" s="1525"/>
      <c r="AA262" s="1525"/>
      <c r="AB262" s="1525"/>
      <c r="AC262" s="1525"/>
      <c r="AD262" s="1525"/>
      <c r="AE262" s="1525"/>
      <c r="AH262" s="1538"/>
      <c r="AI262" s="1538"/>
      <c r="AJ262" s="1538"/>
      <c r="AK262" s="1538"/>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487" t="s">
        <v>2648</v>
      </c>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539" t="s">
        <v>2649</v>
      </c>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536</v>
      </c>
      <c r="E265" s="4"/>
      <c r="F265" s="4"/>
      <c r="G265" s="4"/>
      <c r="H265" s="4"/>
      <c r="I265" s="4"/>
      <c r="J265" s="4"/>
      <c r="K265" s="4"/>
      <c r="L265" s="4"/>
      <c r="M265" s="1371" t="s">
        <v>535</v>
      </c>
      <c r="N265" s="1371"/>
      <c r="O265" s="1371"/>
      <c r="P265" s="1371"/>
      <c r="Q265" s="1371"/>
      <c r="R265" s="1371"/>
      <c r="S265" s="1371"/>
      <c r="T265" s="1371"/>
      <c r="U265" s="204" t="s">
        <v>907</v>
      </c>
      <c r="V265" s="204"/>
      <c r="W265" s="204"/>
      <c r="X265" s="204"/>
      <c r="Y265" s="204"/>
      <c r="Z265" s="204"/>
      <c r="AA265" s="1575"/>
      <c r="AB265" s="1575"/>
      <c r="AC265" s="1575"/>
      <c r="AD265" s="1575"/>
      <c r="AE265" s="1575"/>
      <c r="AF265" s="1575"/>
      <c r="AG265" s="1575"/>
      <c r="AH265" s="1575"/>
      <c r="AI265" s="1575"/>
      <c r="AJ265" s="1575"/>
      <c r="AK265" s="1575"/>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591</v>
      </c>
      <c r="B267" s="4"/>
      <c r="C267" s="2" t="s">
        <v>295</v>
      </c>
      <c r="D267" s="4"/>
      <c r="E267" s="4"/>
      <c r="F267" s="4"/>
      <c r="G267" s="4"/>
      <c r="H267" s="4"/>
      <c r="I267" s="4"/>
      <c r="J267" s="4"/>
      <c r="K267" s="4"/>
      <c r="L267" s="4"/>
      <c r="M267" s="35"/>
      <c r="N267" s="35"/>
      <c r="O267" s="35"/>
      <c r="P267" s="35"/>
      <c r="Q267" s="35"/>
      <c r="T267" s="1567" t="str">
        <f>IFERROR(BO245,"")</f>
        <v>Joint Venture</v>
      </c>
      <c r="U267" s="1567"/>
      <c r="V267" s="1567"/>
      <c r="W267" s="1567"/>
      <c r="X267" s="1567"/>
      <c r="Z267" s="307" t="s">
        <v>955</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 customHeight="1">
      <c r="A270" s="4"/>
      <c r="B270" s="36">
        <v>0</v>
      </c>
      <c r="D270" s="1525" t="s">
        <v>173</v>
      </c>
      <c r="E270" s="1525"/>
      <c r="F270" s="1525"/>
      <c r="G270" s="1525"/>
      <c r="H270" s="1525"/>
      <c r="J270" t="s">
        <v>279</v>
      </c>
      <c r="X270" s="1506">
        <v>45870</v>
      </c>
      <c r="Y270" s="1506"/>
      <c r="Z270" s="1506"/>
      <c r="AA270" s="1506"/>
      <c r="AB270" s="1506"/>
      <c r="AC270" s="1506"/>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566" t="s">
        <v>2643</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522" t="s">
        <v>2650</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 customHeight="1">
      <c r="D276" s="4" t="s">
        <v>581</v>
      </c>
      <c r="E276" s="4"/>
      <c r="L276" s="1522" t="s">
        <v>69</v>
      </c>
      <c r="M276" s="1525"/>
      <c r="N276" s="1525"/>
      <c r="O276" s="1525"/>
      <c r="P276" s="1525"/>
      <c r="Q276" s="1525"/>
      <c r="R276" s="1525"/>
      <c r="S276" s="1525"/>
      <c r="U276" s="33" t="s">
        <v>86</v>
      </c>
      <c r="V276" s="1532" t="s">
        <v>2639</v>
      </c>
      <c r="W276" s="1471"/>
      <c r="X276" s="4" t="s">
        <v>584</v>
      </c>
      <c r="AB276" s="1525">
        <v>93401</v>
      </c>
      <c r="AC276" s="1525"/>
      <c r="AD276" s="1525"/>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522" t="s">
        <v>2640</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 customHeight="1">
      <c r="D278" s="4" t="s">
        <v>88</v>
      </c>
      <c r="E278" s="4"/>
      <c r="F278" s="4"/>
      <c r="L278" s="1546" t="s">
        <v>2641</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 customHeight="1">
      <c r="D279" s="4" t="s">
        <v>90</v>
      </c>
      <c r="E279" s="4"/>
      <c r="F279" s="4"/>
      <c r="L279" s="1539" t="s">
        <v>2642</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row>
    <row r="280" spans="1:51" ht="12.9" customHeight="1">
      <c r="D280" s="3" t="s">
        <v>624</v>
      </c>
      <c r="E280" s="3"/>
      <c r="F280" s="3"/>
      <c r="G280" s="3"/>
      <c r="H280" s="3"/>
      <c r="I280" s="3"/>
      <c r="L280" s="1532" t="s">
        <v>2651</v>
      </c>
      <c r="M280" s="1532"/>
      <c r="N280" s="1532"/>
      <c r="O280" s="1532"/>
      <c r="P280" s="1532"/>
      <c r="Q280" s="1532"/>
      <c r="R280" s="1532"/>
      <c r="S280" s="1532"/>
      <c r="T280" s="1532"/>
      <c r="U280" s="1532"/>
      <c r="V280" s="1532"/>
      <c r="W280" s="1532"/>
      <c r="X280" s="1532"/>
      <c r="Y280" s="1532"/>
      <c r="Z280" s="1532"/>
      <c r="AA280" s="1532"/>
      <c r="AB280" s="1532"/>
      <c r="AC280" s="1532"/>
      <c r="AD280" s="1532"/>
      <c r="AK280" s="3"/>
      <c r="AL280" s="3"/>
      <c r="AM280" s="3"/>
      <c r="AN280" s="3"/>
      <c r="AO280" s="3"/>
      <c r="AP280" s="3"/>
      <c r="AQ280" s="3"/>
      <c r="AR280" s="3"/>
      <c r="AS280" s="3"/>
      <c r="AT280" s="3"/>
    </row>
    <row r="281" spans="1:51" ht="12.9" customHeight="1">
      <c r="L281" s="22" t="s">
        <v>625</v>
      </c>
      <c r="AU281" s="95"/>
      <c r="AV281" s="95"/>
      <c r="AW281" s="95"/>
      <c r="AX281" s="95"/>
      <c r="AY281" s="95"/>
    </row>
    <row r="282" spans="1:51" ht="12.9" customHeight="1">
      <c r="A282" s="1534" t="s">
        <v>542</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2.9"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627</v>
      </c>
      <c r="C287" s="3"/>
      <c r="D287" s="3"/>
      <c r="E287" s="3"/>
      <c r="F287" s="3"/>
      <c r="H287" s="1407" t="s">
        <v>2643</v>
      </c>
      <c r="I287" s="1407"/>
      <c r="J287" s="1407"/>
      <c r="K287" s="1407"/>
      <c r="L287" s="1407"/>
      <c r="M287" s="1407"/>
      <c r="N287" s="1407"/>
      <c r="O287" s="1407"/>
      <c r="P287" s="1407"/>
      <c r="Q287" s="1407"/>
      <c r="R287" s="1407"/>
      <c r="T287" s="3" t="s">
        <v>568</v>
      </c>
      <c r="V287" s="3"/>
      <c r="W287" s="3"/>
      <c r="X287" s="3"/>
      <c r="Y287" s="3"/>
      <c r="AA287" s="1407" t="s">
        <v>2668</v>
      </c>
      <c r="AB287" s="1407"/>
      <c r="AC287" s="1407"/>
      <c r="AD287" s="1407"/>
      <c r="AE287" s="1407"/>
      <c r="AF287" s="1407"/>
      <c r="AG287" s="1407"/>
      <c r="AH287" s="1407"/>
      <c r="AI287" s="1407"/>
      <c r="AJ287" s="1407"/>
      <c r="AK287" s="1407"/>
    </row>
    <row r="288" spans="1:51" ht="12.9" customHeight="1">
      <c r="B288" s="3" t="s">
        <v>472</v>
      </c>
      <c r="C288" s="3"/>
      <c r="D288" s="3"/>
      <c r="E288" s="3"/>
      <c r="F288" s="3"/>
      <c r="H288" s="1371" t="s">
        <v>2638</v>
      </c>
      <c r="I288" s="1371"/>
      <c r="J288" s="1371"/>
      <c r="K288" s="1371"/>
      <c r="L288" s="1371"/>
      <c r="M288" s="1371"/>
      <c r="N288" s="1371"/>
      <c r="O288" s="1371"/>
      <c r="P288" s="1371"/>
      <c r="Q288" s="1371"/>
      <c r="R288" s="1371"/>
      <c r="T288" s="3" t="s">
        <v>472</v>
      </c>
      <c r="V288" s="3"/>
      <c r="W288" s="3"/>
      <c r="X288" s="3"/>
      <c r="Y288" s="3"/>
      <c r="AA288" s="1371" t="s">
        <v>2669</v>
      </c>
      <c r="AB288" s="1371"/>
      <c r="AC288" s="1371"/>
      <c r="AD288" s="1371"/>
      <c r="AE288" s="1371"/>
      <c r="AF288" s="1371"/>
      <c r="AG288" s="1371"/>
      <c r="AH288" s="1371"/>
      <c r="AI288" s="1371"/>
      <c r="AJ288" s="1371"/>
      <c r="AK288" s="1371"/>
    </row>
    <row r="289" spans="2:37" ht="12.9" customHeight="1">
      <c r="B289" s="3" t="s">
        <v>473</v>
      </c>
      <c r="C289" s="3"/>
      <c r="D289" s="3"/>
      <c r="E289" s="3"/>
      <c r="F289" s="3"/>
      <c r="H289" s="1371" t="s">
        <v>2652</v>
      </c>
      <c r="I289" s="1371"/>
      <c r="J289" s="1371"/>
      <c r="K289" s="1371"/>
      <c r="L289" s="1371"/>
      <c r="M289" s="1371"/>
      <c r="N289" s="1371"/>
      <c r="O289" s="1371"/>
      <c r="P289" s="1371"/>
      <c r="Q289" s="1371"/>
      <c r="R289" s="1371"/>
      <c r="T289" s="3" t="s">
        <v>75</v>
      </c>
      <c r="V289" s="3"/>
      <c r="W289" s="3"/>
      <c r="X289" s="3"/>
      <c r="Y289" s="3"/>
      <c r="AA289" s="1371" t="s">
        <v>2652</v>
      </c>
      <c r="AB289" s="1371"/>
      <c r="AC289" s="1371"/>
      <c r="AD289" s="1371"/>
      <c r="AE289" s="1371"/>
      <c r="AF289" s="1371"/>
      <c r="AG289" s="1371"/>
      <c r="AH289" s="1371"/>
      <c r="AI289" s="1371"/>
      <c r="AJ289" s="1371"/>
      <c r="AK289" s="1371"/>
    </row>
    <row r="290" spans="2:37" ht="12.9" customHeight="1">
      <c r="B290" s="3" t="s">
        <v>87</v>
      </c>
      <c r="C290" s="3"/>
      <c r="D290" s="3"/>
      <c r="E290" s="3"/>
      <c r="F290" s="3"/>
      <c r="H290" s="1371" t="s">
        <v>2640</v>
      </c>
      <c r="I290" s="1371"/>
      <c r="J290" s="1371"/>
      <c r="K290" s="1371"/>
      <c r="L290" s="1371"/>
      <c r="M290" s="1371"/>
      <c r="N290" s="1371"/>
      <c r="O290" s="1371"/>
      <c r="P290" s="1371"/>
      <c r="Q290" s="1371"/>
      <c r="R290" s="1371"/>
      <c r="T290" s="3" t="s">
        <v>87</v>
      </c>
      <c r="V290" s="3"/>
      <c r="W290" s="3"/>
      <c r="X290" s="3"/>
      <c r="Y290" s="3"/>
      <c r="AA290" s="1371" t="s">
        <v>2670</v>
      </c>
      <c r="AB290" s="1371"/>
      <c r="AC290" s="1371"/>
      <c r="AD290" s="1371"/>
      <c r="AE290" s="1371"/>
      <c r="AF290" s="1371"/>
      <c r="AG290" s="1371"/>
      <c r="AH290" s="1371"/>
      <c r="AI290" s="1371"/>
      <c r="AJ290" s="1371"/>
      <c r="AK290" s="1371"/>
    </row>
    <row r="291" spans="2:37" ht="12.9" customHeight="1">
      <c r="B291" s="3" t="s">
        <v>88</v>
      </c>
      <c r="C291" s="3"/>
      <c r="D291" s="3"/>
      <c r="E291" s="3"/>
      <c r="F291" s="3"/>
      <c r="G291" s="3"/>
      <c r="H291" s="1542" t="s">
        <v>2641</v>
      </c>
      <c r="I291" s="1542"/>
      <c r="J291" s="1542"/>
      <c r="K291" s="1542"/>
      <c r="L291" s="1542"/>
      <c r="M291" s="1542"/>
      <c r="N291" s="4" t="s">
        <v>206</v>
      </c>
      <c r="O291" s="4"/>
      <c r="P291" s="1525"/>
      <c r="Q291" s="1525"/>
      <c r="R291" s="1525"/>
      <c r="S291" s="3"/>
      <c r="T291" s="3" t="s">
        <v>88</v>
      </c>
      <c r="V291" s="3"/>
      <c r="W291" s="3"/>
      <c r="X291" s="3"/>
      <c r="Y291" s="3"/>
      <c r="AA291" s="1542">
        <v>8052881010</v>
      </c>
      <c r="AB291" s="1542"/>
      <c r="AC291" s="1542"/>
      <c r="AD291" s="1542"/>
      <c r="AE291" s="1542"/>
      <c r="AF291" s="1542"/>
      <c r="AG291" s="4" t="s">
        <v>206</v>
      </c>
      <c r="AH291" s="4"/>
      <c r="AI291" s="1525"/>
      <c r="AJ291" s="1525"/>
      <c r="AK291" s="1525"/>
    </row>
    <row r="292" spans="2:37" ht="12.9"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 customHeight="1">
      <c r="B293" s="3" t="s">
        <v>76</v>
      </c>
      <c r="C293" s="3"/>
      <c r="D293" s="3"/>
      <c r="E293" s="3"/>
      <c r="F293" s="3"/>
      <c r="G293" s="3"/>
      <c r="H293" s="1371" t="s">
        <v>2642</v>
      </c>
      <c r="I293" s="1371"/>
      <c r="J293" s="1371"/>
      <c r="K293" s="1371"/>
      <c r="L293" s="1371"/>
      <c r="M293" s="1371"/>
      <c r="N293" s="1407"/>
      <c r="O293" s="1407"/>
      <c r="P293" s="1407"/>
      <c r="Q293" s="1407"/>
      <c r="R293" s="1407"/>
      <c r="S293" s="3"/>
      <c r="T293" s="3" t="s">
        <v>76</v>
      </c>
      <c r="V293" s="3"/>
      <c r="W293" s="3"/>
      <c r="X293" s="3"/>
      <c r="Y293" s="3"/>
      <c r="AA293" s="1371" t="s">
        <v>2671</v>
      </c>
      <c r="AB293" s="1371"/>
      <c r="AC293" s="1371"/>
      <c r="AD293" s="1371"/>
      <c r="AE293" s="1371"/>
      <c r="AF293" s="1371"/>
      <c r="AG293" s="1407"/>
      <c r="AH293" s="1407"/>
      <c r="AI293" s="1407"/>
      <c r="AJ293" s="1407"/>
      <c r="AK293" s="1407"/>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407" t="s">
        <v>2653</v>
      </c>
      <c r="I295" s="1407"/>
      <c r="J295" s="1407"/>
      <c r="K295" s="1407"/>
      <c r="L295" s="1407"/>
      <c r="M295" s="1407"/>
      <c r="N295" s="1407"/>
      <c r="O295" s="1407"/>
      <c r="P295" s="1407"/>
      <c r="Q295" s="1407"/>
      <c r="R295" s="1407"/>
      <c r="T295" s="3" t="s">
        <v>364</v>
      </c>
      <c r="V295" s="3"/>
      <c r="W295" s="3"/>
      <c r="X295" s="3"/>
      <c r="Y295" s="3"/>
      <c r="AA295" s="1407" t="s">
        <v>2662</v>
      </c>
      <c r="AB295" s="1407"/>
      <c r="AC295" s="1407"/>
      <c r="AD295" s="1407"/>
      <c r="AE295" s="1407"/>
      <c r="AF295" s="1407"/>
      <c r="AG295" s="1407"/>
      <c r="AH295" s="1407"/>
      <c r="AI295" s="1407"/>
      <c r="AJ295" s="1407"/>
      <c r="AK295" s="1407"/>
    </row>
    <row r="296" spans="2:37" ht="12.9" customHeight="1">
      <c r="B296" s="3" t="s">
        <v>472</v>
      </c>
      <c r="C296" s="3"/>
      <c r="D296" s="3"/>
      <c r="E296" s="3"/>
      <c r="F296" s="3"/>
      <c r="H296" s="1371" t="s">
        <v>2654</v>
      </c>
      <c r="I296" s="1371"/>
      <c r="J296" s="1371"/>
      <c r="K296" s="1371"/>
      <c r="L296" s="1371"/>
      <c r="M296" s="1371"/>
      <c r="N296" s="1371"/>
      <c r="O296" s="1371"/>
      <c r="P296" s="1371"/>
      <c r="Q296" s="1371"/>
      <c r="R296" s="1371"/>
      <c r="T296" s="3" t="s">
        <v>472</v>
      </c>
      <c r="V296" s="3"/>
      <c r="W296" s="3"/>
      <c r="X296" s="3"/>
      <c r="Y296" s="3"/>
      <c r="AA296" s="1371" t="s">
        <v>2663</v>
      </c>
      <c r="AB296" s="1371"/>
      <c r="AC296" s="1371"/>
      <c r="AD296" s="1371"/>
      <c r="AE296" s="1371"/>
      <c r="AF296" s="1371"/>
      <c r="AG296" s="1371"/>
      <c r="AH296" s="1371"/>
      <c r="AI296" s="1371"/>
      <c r="AJ296" s="1371"/>
      <c r="AK296" s="1371"/>
    </row>
    <row r="297" spans="2:37" ht="12.9" customHeight="1">
      <c r="B297" s="3" t="s">
        <v>473</v>
      </c>
      <c r="C297" s="3"/>
      <c r="D297" s="3"/>
      <c r="E297" s="3"/>
      <c r="F297" s="3"/>
      <c r="H297" s="1371" t="s">
        <v>2655</v>
      </c>
      <c r="I297" s="1371"/>
      <c r="J297" s="1371"/>
      <c r="K297" s="1371"/>
      <c r="L297" s="1371"/>
      <c r="M297" s="1371"/>
      <c r="N297" s="1371"/>
      <c r="O297" s="1371"/>
      <c r="P297" s="1371"/>
      <c r="Q297" s="1371"/>
      <c r="R297" s="1371"/>
      <c r="T297" s="3" t="s">
        <v>75</v>
      </c>
      <c r="V297" s="3"/>
      <c r="W297" s="3"/>
      <c r="X297" s="3"/>
      <c r="Y297" s="3"/>
      <c r="AA297" s="1371" t="s">
        <v>2664</v>
      </c>
      <c r="AB297" s="1371"/>
      <c r="AC297" s="1371"/>
      <c r="AD297" s="1371"/>
      <c r="AE297" s="1371"/>
      <c r="AF297" s="1371"/>
      <c r="AG297" s="1371"/>
      <c r="AH297" s="1371"/>
      <c r="AI297" s="1371"/>
      <c r="AJ297" s="1371"/>
      <c r="AK297" s="1371"/>
    </row>
    <row r="298" spans="2:37" ht="12.9" customHeight="1">
      <c r="B298" s="3" t="s">
        <v>87</v>
      </c>
      <c r="C298" s="3"/>
      <c r="D298" s="3"/>
      <c r="E298" s="3"/>
      <c r="F298" s="3"/>
      <c r="H298" s="1371" t="s">
        <v>2656</v>
      </c>
      <c r="I298" s="1371"/>
      <c r="J298" s="1371"/>
      <c r="K298" s="1371"/>
      <c r="L298" s="1371"/>
      <c r="M298" s="1371"/>
      <c r="N298" s="1371"/>
      <c r="O298" s="1371"/>
      <c r="P298" s="1371"/>
      <c r="Q298" s="1371"/>
      <c r="R298" s="1371"/>
      <c r="T298" s="3" t="s">
        <v>87</v>
      </c>
      <c r="V298" s="3"/>
      <c r="W298" s="3"/>
      <c r="X298" s="3"/>
      <c r="Y298" s="3"/>
      <c r="AA298" s="1371" t="s">
        <v>2665</v>
      </c>
      <c r="AB298" s="1371"/>
      <c r="AC298" s="1371"/>
      <c r="AD298" s="1371"/>
      <c r="AE298" s="1371"/>
      <c r="AF298" s="1371"/>
      <c r="AG298" s="1371"/>
      <c r="AH298" s="1371"/>
      <c r="AI298" s="1371"/>
      <c r="AJ298" s="1371"/>
      <c r="AK298" s="1371"/>
    </row>
    <row r="299" spans="2:37" ht="12.9" customHeight="1">
      <c r="B299" s="3" t="s">
        <v>88</v>
      </c>
      <c r="C299" s="3"/>
      <c r="D299" s="3"/>
      <c r="E299" s="3"/>
      <c r="F299" s="3"/>
      <c r="G299" s="3"/>
      <c r="H299" s="1542" t="s">
        <v>2657</v>
      </c>
      <c r="I299" s="1542"/>
      <c r="J299" s="1542"/>
      <c r="K299" s="1542"/>
      <c r="L299" s="1542"/>
      <c r="M299" s="1542"/>
      <c r="N299" s="4" t="s">
        <v>206</v>
      </c>
      <c r="O299" s="4"/>
      <c r="P299" s="1525"/>
      <c r="Q299" s="1525"/>
      <c r="R299" s="1525"/>
      <c r="S299" s="3"/>
      <c r="T299" s="3" t="s">
        <v>88</v>
      </c>
      <c r="V299" s="3"/>
      <c r="W299" s="3"/>
      <c r="X299" s="3"/>
      <c r="Y299" s="3"/>
      <c r="AA299" s="1542" t="s">
        <v>2666</v>
      </c>
      <c r="AB299" s="1542"/>
      <c r="AC299" s="1542"/>
      <c r="AD299" s="1542"/>
      <c r="AE299" s="1542"/>
      <c r="AF299" s="1542"/>
      <c r="AG299" s="4" t="s">
        <v>206</v>
      </c>
      <c r="AH299" s="4"/>
      <c r="AI299" s="1525"/>
      <c r="AJ299" s="1525"/>
      <c r="AK299" s="1525"/>
    </row>
    <row r="300" spans="2:37" ht="12.9"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2.9" customHeight="1">
      <c r="B301" s="3" t="s">
        <v>76</v>
      </c>
      <c r="C301" s="3"/>
      <c r="D301" s="3"/>
      <c r="E301" s="3"/>
      <c r="F301" s="3"/>
      <c r="G301" s="3"/>
      <c r="H301" s="1371" t="s">
        <v>2658</v>
      </c>
      <c r="I301" s="1371"/>
      <c r="J301" s="1371"/>
      <c r="K301" s="1371"/>
      <c r="L301" s="1371"/>
      <c r="M301" s="1371"/>
      <c r="N301" s="1407"/>
      <c r="O301" s="1407"/>
      <c r="P301" s="1407"/>
      <c r="Q301" s="1407"/>
      <c r="R301" s="1407"/>
      <c r="S301" s="3"/>
      <c r="T301" s="3" t="s">
        <v>76</v>
      </c>
      <c r="V301" s="3"/>
      <c r="W301" s="3"/>
      <c r="X301" s="3"/>
      <c r="Y301" s="3"/>
      <c r="AA301" s="1371" t="s">
        <v>2667</v>
      </c>
      <c r="AB301" s="1371"/>
      <c r="AC301" s="1371"/>
      <c r="AD301" s="1371"/>
      <c r="AE301" s="1371"/>
      <c r="AF301" s="1371"/>
      <c r="AG301" s="1407"/>
      <c r="AH301" s="1407"/>
      <c r="AI301" s="1407"/>
      <c r="AJ301" s="1407"/>
      <c r="AK301" s="1407"/>
    </row>
    <row r="302" spans="2:37" ht="12.9" customHeight="1"/>
    <row r="303" spans="2:37" ht="12.9" customHeight="1">
      <c r="B303" s="3" t="s">
        <v>77</v>
      </c>
      <c r="C303" s="3"/>
      <c r="D303" s="3"/>
      <c r="E303" s="3"/>
      <c r="F303" s="3"/>
      <c r="H303" s="1407" t="s">
        <v>2659</v>
      </c>
      <c r="I303" s="1407"/>
      <c r="J303" s="1407"/>
      <c r="K303" s="1407"/>
      <c r="L303" s="1407"/>
      <c r="M303" s="1407"/>
      <c r="N303" s="1407"/>
      <c r="O303" s="1407"/>
      <c r="P303" s="1407"/>
      <c r="Q303" s="1407"/>
      <c r="R303" s="1407"/>
      <c r="T303" s="4" t="s">
        <v>879</v>
      </c>
      <c r="V303" s="3"/>
      <c r="W303" s="3"/>
      <c r="X303" s="3"/>
      <c r="Y303" s="3"/>
      <c r="AA303" s="1407"/>
      <c r="AB303" s="1407"/>
      <c r="AC303" s="1407"/>
      <c r="AD303" s="1407"/>
      <c r="AE303" s="1407"/>
      <c r="AF303" s="1407"/>
      <c r="AG303" s="1407"/>
      <c r="AH303" s="1407"/>
      <c r="AI303" s="1407"/>
      <c r="AJ303" s="1407"/>
      <c r="AK303" s="1407"/>
    </row>
    <row r="304" spans="2:37" ht="12.9" customHeight="1">
      <c r="B304" s="3" t="s">
        <v>472</v>
      </c>
      <c r="C304" s="3"/>
      <c r="D304" s="3"/>
      <c r="E304" s="3"/>
      <c r="F304" s="3"/>
      <c r="H304" s="1371" t="s">
        <v>2660</v>
      </c>
      <c r="I304" s="1371"/>
      <c r="J304" s="1371"/>
      <c r="K304" s="1371"/>
      <c r="L304" s="1371"/>
      <c r="M304" s="1371"/>
      <c r="N304" s="1371"/>
      <c r="O304" s="1371"/>
      <c r="P304" s="1371"/>
      <c r="Q304" s="1371"/>
      <c r="R304" s="1371"/>
      <c r="T304" s="3" t="s">
        <v>472</v>
      </c>
      <c r="V304" s="3"/>
      <c r="W304" s="3"/>
      <c r="X304" s="3"/>
      <c r="Y304" s="3"/>
      <c r="AA304" s="1371"/>
      <c r="AB304" s="1371"/>
      <c r="AC304" s="1371"/>
      <c r="AD304" s="1371"/>
      <c r="AE304" s="1371"/>
      <c r="AF304" s="1371"/>
      <c r="AG304" s="1371"/>
      <c r="AH304" s="1371"/>
      <c r="AI304" s="1371"/>
      <c r="AJ304" s="1371"/>
      <c r="AK304" s="1371"/>
    </row>
    <row r="305" spans="2:37" ht="12.9" customHeight="1">
      <c r="B305" s="3" t="s">
        <v>473</v>
      </c>
      <c r="C305" s="3"/>
      <c r="D305" s="3"/>
      <c r="E305" s="3"/>
      <c r="F305" s="3"/>
      <c r="H305" s="1371" t="s">
        <v>2655</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 customHeight="1">
      <c r="B306" s="3" t="s">
        <v>87</v>
      </c>
      <c r="C306" s="3"/>
      <c r="D306" s="3"/>
      <c r="E306" s="3"/>
      <c r="F306" s="3"/>
      <c r="H306" s="1371" t="s">
        <v>2661</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 customHeight="1">
      <c r="B307" s="3" t="s">
        <v>88</v>
      </c>
      <c r="C307" s="3"/>
      <c r="D307" s="3"/>
      <c r="E307" s="3"/>
      <c r="F307" s="3"/>
      <c r="G307" s="3"/>
      <c r="H307" s="1542"/>
      <c r="I307" s="1542"/>
      <c r="J307" s="1542"/>
      <c r="K307" s="1542"/>
      <c r="L307" s="1542"/>
      <c r="M307" s="1542"/>
      <c r="N307" s="4" t="s">
        <v>206</v>
      </c>
      <c r="O307" s="4"/>
      <c r="P307" s="1525"/>
      <c r="Q307" s="1525"/>
      <c r="R307" s="1525"/>
      <c r="S307" s="3"/>
      <c r="T307" s="3" t="s">
        <v>88</v>
      </c>
      <c r="V307" s="3"/>
      <c r="W307" s="3"/>
      <c r="X307" s="3"/>
      <c r="Y307" s="3"/>
      <c r="AA307" s="1542"/>
      <c r="AB307" s="1542"/>
      <c r="AC307" s="1542"/>
      <c r="AD307" s="1542"/>
      <c r="AE307" s="1542"/>
      <c r="AF307" s="1542"/>
      <c r="AG307" s="4" t="s">
        <v>206</v>
      </c>
      <c r="AH307" s="4"/>
      <c r="AI307" s="1525"/>
      <c r="AJ307" s="1525"/>
      <c r="AK307" s="1525"/>
    </row>
    <row r="308" spans="2:37" ht="12.9"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 customHeight="1">
      <c r="B309" s="3" t="s">
        <v>76</v>
      </c>
      <c r="C309" s="3"/>
      <c r="D309" s="3"/>
      <c r="E309" s="3"/>
      <c r="F309" s="3"/>
      <c r="G309" s="3"/>
      <c r="H309" s="1371"/>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908</v>
      </c>
      <c r="C311" s="3"/>
      <c r="D311" s="3"/>
      <c r="E311" s="3"/>
      <c r="F311" s="3"/>
      <c r="H311" s="1407" t="s">
        <v>2659</v>
      </c>
      <c r="I311" s="1407"/>
      <c r="J311" s="1407"/>
      <c r="K311" s="1407"/>
      <c r="L311" s="1407"/>
      <c r="M311" s="1407"/>
      <c r="N311" s="1407"/>
      <c r="O311" s="1407"/>
      <c r="P311" s="1407"/>
      <c r="Q311" s="1407"/>
      <c r="R311" s="1407"/>
      <c r="S311" s="3"/>
      <c r="T311" s="3" t="s">
        <v>365</v>
      </c>
      <c r="V311" s="3"/>
      <c r="W311" s="3"/>
      <c r="X311" s="3"/>
      <c r="Y311" s="3"/>
      <c r="AA311" s="1407" t="s">
        <v>2621</v>
      </c>
      <c r="AB311" s="1407"/>
      <c r="AC311" s="1407"/>
      <c r="AD311" s="1407"/>
      <c r="AE311" s="1407"/>
      <c r="AF311" s="1407"/>
      <c r="AG311" s="1407"/>
      <c r="AH311" s="1407"/>
      <c r="AI311" s="1407"/>
      <c r="AJ311" s="1407"/>
      <c r="AK311" s="1407"/>
    </row>
    <row r="312" spans="2:37" ht="12.9" customHeight="1">
      <c r="B312" s="3" t="s">
        <v>472</v>
      </c>
      <c r="C312" s="3"/>
      <c r="D312" s="3"/>
      <c r="E312" s="3"/>
      <c r="F312" s="3"/>
      <c r="H312" s="1371" t="s">
        <v>2660</v>
      </c>
      <c r="I312" s="1371"/>
      <c r="J312" s="1371"/>
      <c r="K312" s="1371"/>
      <c r="L312" s="1371"/>
      <c r="M312" s="1371"/>
      <c r="N312" s="1371"/>
      <c r="O312" s="1371"/>
      <c r="P312" s="1371"/>
      <c r="Q312" s="1371"/>
      <c r="R312" s="1371"/>
      <c r="S312" s="3"/>
      <c r="T312" s="3" t="s">
        <v>472</v>
      </c>
      <c r="V312" s="3"/>
      <c r="W312" s="3"/>
      <c r="X312" s="3"/>
      <c r="Y312" s="3"/>
      <c r="AA312" s="1371" t="s">
        <v>2672</v>
      </c>
      <c r="AB312" s="1371"/>
      <c r="AC312" s="1371"/>
      <c r="AD312" s="1371"/>
      <c r="AE312" s="1371"/>
      <c r="AF312" s="1371"/>
      <c r="AG312" s="1371"/>
      <c r="AH312" s="1371"/>
      <c r="AI312" s="1371"/>
      <c r="AJ312" s="1371"/>
      <c r="AK312" s="1371"/>
    </row>
    <row r="313" spans="2:37" ht="12.9" customHeight="1">
      <c r="B313" s="3" t="s">
        <v>473</v>
      </c>
      <c r="C313" s="3"/>
      <c r="D313" s="3"/>
      <c r="E313" s="3"/>
      <c r="F313" s="3"/>
      <c r="H313" s="1371" t="s">
        <v>2655</v>
      </c>
      <c r="I313" s="1371"/>
      <c r="J313" s="1371"/>
      <c r="K313" s="1371"/>
      <c r="L313" s="1371"/>
      <c r="M313" s="1371"/>
      <c r="N313" s="1371"/>
      <c r="O313" s="1371"/>
      <c r="P313" s="1371"/>
      <c r="Q313" s="1371"/>
      <c r="R313" s="1371"/>
      <c r="S313" s="3"/>
      <c r="T313" s="3" t="s">
        <v>75</v>
      </c>
      <c r="V313" s="3"/>
      <c r="W313" s="3"/>
      <c r="X313" s="3"/>
      <c r="Y313" s="3"/>
      <c r="AA313" s="1371" t="s">
        <v>2673</v>
      </c>
      <c r="AB313" s="1371"/>
      <c r="AC313" s="1371"/>
      <c r="AD313" s="1371"/>
      <c r="AE313" s="1371"/>
      <c r="AF313" s="1371"/>
      <c r="AG313" s="1371"/>
      <c r="AH313" s="1371"/>
      <c r="AI313" s="1371"/>
      <c r="AJ313" s="1371"/>
      <c r="AK313" s="1371"/>
    </row>
    <row r="314" spans="2:37" ht="12.9" customHeight="1">
      <c r="B314" s="3" t="s">
        <v>87</v>
      </c>
      <c r="C314" s="3"/>
      <c r="D314" s="3"/>
      <c r="E314" s="3"/>
      <c r="F314" s="3"/>
      <c r="H314" s="1371" t="s">
        <v>2661</v>
      </c>
      <c r="I314" s="1371"/>
      <c r="J314" s="1371"/>
      <c r="K314" s="1371"/>
      <c r="L314" s="1371"/>
      <c r="M314" s="1371"/>
      <c r="N314" s="1371"/>
      <c r="O314" s="1371"/>
      <c r="P314" s="1371"/>
      <c r="Q314" s="1371"/>
      <c r="R314" s="1371"/>
      <c r="S314" s="3"/>
      <c r="T314" s="3" t="s">
        <v>87</v>
      </c>
      <c r="V314" s="3"/>
      <c r="W314" s="3"/>
      <c r="X314" s="3"/>
      <c r="Y314" s="3"/>
      <c r="AA314" s="1371" t="s">
        <v>2674</v>
      </c>
      <c r="AB314" s="1371"/>
      <c r="AC314" s="1371"/>
      <c r="AD314" s="1371"/>
      <c r="AE314" s="1371"/>
      <c r="AF314" s="1371"/>
      <c r="AG314" s="1371"/>
      <c r="AH314" s="1371"/>
      <c r="AI314" s="1371"/>
      <c r="AJ314" s="1371"/>
      <c r="AK314" s="1371"/>
    </row>
    <row r="315" spans="2:37" ht="12.9" customHeight="1">
      <c r="B315" s="3" t="s">
        <v>88</v>
      </c>
      <c r="C315" s="3"/>
      <c r="D315" s="3"/>
      <c r="E315" s="3"/>
      <c r="F315" s="3"/>
      <c r="G315" s="3"/>
      <c r="H315" s="1568" t="s">
        <v>2694</v>
      </c>
      <c r="I315" s="1542"/>
      <c r="J315" s="1542"/>
      <c r="K315" s="1542"/>
      <c r="L315" s="1542"/>
      <c r="M315" s="1542"/>
      <c r="N315" s="4" t="s">
        <v>206</v>
      </c>
      <c r="O315" s="4"/>
      <c r="P315" s="1525"/>
      <c r="Q315" s="1525"/>
      <c r="R315" s="1525"/>
      <c r="S315" s="3"/>
      <c r="T315" s="3" t="s">
        <v>88</v>
      </c>
      <c r="V315" s="3"/>
      <c r="W315" s="3"/>
      <c r="X315" s="3"/>
      <c r="Y315" s="3"/>
      <c r="AA315" s="1542" t="s">
        <v>2675</v>
      </c>
      <c r="AB315" s="1542"/>
      <c r="AC315" s="1542"/>
      <c r="AD315" s="1542"/>
      <c r="AE315" s="1542"/>
      <c r="AF315" s="1542"/>
      <c r="AG315" s="4" t="s">
        <v>206</v>
      </c>
      <c r="AH315" s="4"/>
      <c r="AI315" s="1525"/>
      <c r="AJ315" s="1525"/>
      <c r="AK315" s="1525"/>
    </row>
    <row r="316" spans="2:37" ht="12.9"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 customHeight="1">
      <c r="B317" s="3" t="s">
        <v>76</v>
      </c>
      <c r="C317" s="3"/>
      <c r="D317" s="3"/>
      <c r="E317" s="3"/>
      <c r="F317" s="3"/>
      <c r="G317" s="3"/>
      <c r="H317" s="1371" t="s">
        <v>2695</v>
      </c>
      <c r="I317" s="1371"/>
      <c r="J317" s="1371"/>
      <c r="K317" s="1371"/>
      <c r="L317" s="1371"/>
      <c r="M317" s="1371"/>
      <c r="N317" s="1407"/>
      <c r="O317" s="1407"/>
      <c r="P317" s="1407"/>
      <c r="Q317" s="1407"/>
      <c r="R317" s="1407"/>
      <c r="S317" s="3"/>
      <c r="T317" s="3" t="s">
        <v>76</v>
      </c>
      <c r="V317" s="3"/>
      <c r="W317" s="3"/>
      <c r="X317" s="3"/>
      <c r="Y317" s="3"/>
      <c r="AA317" s="1371" t="s">
        <v>2676</v>
      </c>
      <c r="AB317" s="1371"/>
      <c r="AC317" s="1371"/>
      <c r="AD317" s="1371"/>
      <c r="AE317" s="1371"/>
      <c r="AF317" s="1371"/>
      <c r="AG317" s="1407"/>
      <c r="AH317" s="1407"/>
      <c r="AI317" s="1407"/>
      <c r="AJ317" s="1407"/>
      <c r="AK317" s="1407"/>
    </row>
    <row r="318" spans="2:37" ht="12.9" customHeight="1"/>
    <row r="319" spans="2:37" ht="12.9"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2677</v>
      </c>
      <c r="AB319" s="1407"/>
      <c r="AC319" s="1407"/>
      <c r="AD319" s="1407"/>
      <c r="AE319" s="1407"/>
      <c r="AF319" s="1407"/>
      <c r="AG319" s="1407"/>
      <c r="AH319" s="1407"/>
      <c r="AI319" s="1407"/>
      <c r="AJ319" s="1407"/>
      <c r="AK319" s="1407"/>
    </row>
    <row r="320" spans="2:37" ht="12.9"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2678</v>
      </c>
      <c r="AB320" s="1371"/>
      <c r="AC320" s="1371"/>
      <c r="AD320" s="1371"/>
      <c r="AE320" s="1371"/>
      <c r="AF320" s="1371"/>
      <c r="AG320" s="1371"/>
      <c r="AH320" s="1371"/>
      <c r="AI320" s="1371"/>
      <c r="AJ320" s="1371"/>
      <c r="AK320" s="1371"/>
    </row>
    <row r="321" spans="2:37" ht="12.9"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2679</v>
      </c>
      <c r="AB321" s="1371"/>
      <c r="AC321" s="1371"/>
      <c r="AD321" s="1371"/>
      <c r="AE321" s="1371"/>
      <c r="AF321" s="1371"/>
      <c r="AG321" s="1371"/>
      <c r="AH321" s="1371"/>
      <c r="AI321" s="1371"/>
      <c r="AJ321" s="1371"/>
      <c r="AK321" s="1371"/>
    </row>
    <row r="322" spans="2:37" ht="12.9"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2680</v>
      </c>
      <c r="AB322" s="1371"/>
      <c r="AC322" s="1371"/>
      <c r="AD322" s="1371"/>
      <c r="AE322" s="1371"/>
      <c r="AF322" s="1371"/>
      <c r="AG322" s="1371"/>
      <c r="AH322" s="1371"/>
      <c r="AI322" s="1371"/>
      <c r="AJ322" s="1371"/>
      <c r="AK322" s="1371"/>
    </row>
    <row r="323" spans="2:37" ht="12.9" customHeight="1">
      <c r="B323" s="3" t="s">
        <v>88</v>
      </c>
      <c r="C323" s="3"/>
      <c r="D323" s="3"/>
      <c r="E323" s="3"/>
      <c r="F323" s="3"/>
      <c r="G323" s="3"/>
      <c r="H323" s="1542"/>
      <c r="I323" s="1542"/>
      <c r="J323" s="1542"/>
      <c r="K323" s="1542"/>
      <c r="L323" s="1542"/>
      <c r="M323" s="1542"/>
      <c r="N323" s="4" t="s">
        <v>206</v>
      </c>
      <c r="O323" s="4"/>
      <c r="P323" s="1525"/>
      <c r="Q323" s="1525"/>
      <c r="R323" s="1525"/>
      <c r="S323" s="3"/>
      <c r="T323" s="3" t="s">
        <v>88</v>
      </c>
      <c r="V323" s="3"/>
      <c r="W323" s="3"/>
      <c r="X323" s="3"/>
      <c r="Y323" s="3"/>
      <c r="AA323" s="1542" t="s">
        <v>2696</v>
      </c>
      <c r="AB323" s="1542"/>
      <c r="AC323" s="1542"/>
      <c r="AD323" s="1542"/>
      <c r="AE323" s="1542"/>
      <c r="AF323" s="1542"/>
      <c r="AG323" s="4" t="s">
        <v>206</v>
      </c>
      <c r="AH323" s="4"/>
      <c r="AI323" s="1525"/>
      <c r="AJ323" s="1525"/>
      <c r="AK323" s="1525"/>
    </row>
    <row r="324" spans="2:37" ht="12.9"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2.9"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2697</v>
      </c>
      <c r="AB325" s="1371"/>
      <c r="AC325" s="1371"/>
      <c r="AD325" s="1371"/>
      <c r="AE325" s="1371"/>
      <c r="AF325" s="1371"/>
      <c r="AG325" s="1407"/>
      <c r="AH325" s="1407"/>
      <c r="AI325" s="1407"/>
      <c r="AJ325" s="1407"/>
      <c r="AK325" s="1407"/>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407"/>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 customHeight="1">
      <c r="B328" s="3" t="s">
        <v>472</v>
      </c>
      <c r="C328" s="3"/>
      <c r="D328" s="3"/>
      <c r="E328" s="3"/>
      <c r="F328" s="3"/>
      <c r="H328" s="1371"/>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 customHeight="1">
      <c r="B329" s="3" t="s">
        <v>473</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 customHeight="1">
      <c r="B331" s="3" t="s">
        <v>88</v>
      </c>
      <c r="C331" s="3"/>
      <c r="D331" s="3"/>
      <c r="E331" s="3"/>
      <c r="F331" s="3"/>
      <c r="G331" s="3"/>
      <c r="H331" s="1542"/>
      <c r="I331" s="1542"/>
      <c r="J331" s="1542"/>
      <c r="K331" s="1542"/>
      <c r="L331" s="1542"/>
      <c r="M331" s="1542"/>
      <c r="N331" s="4" t="s">
        <v>206</v>
      </c>
      <c r="O331" s="4"/>
      <c r="P331" s="1525"/>
      <c r="Q331" s="1525"/>
      <c r="R331" s="1525"/>
      <c r="S331" s="3"/>
      <c r="T331" s="3" t="s">
        <v>88</v>
      </c>
      <c r="V331" s="3"/>
      <c r="W331" s="3"/>
      <c r="X331" s="3"/>
      <c r="Y331" s="3"/>
      <c r="AA331" s="1542"/>
      <c r="AB331" s="1542"/>
      <c r="AC331" s="1542"/>
      <c r="AD331" s="1542"/>
      <c r="AE331" s="1542"/>
      <c r="AF331" s="1542"/>
      <c r="AG331" s="4" t="s">
        <v>206</v>
      </c>
      <c r="AH331" s="4"/>
      <c r="AI331" s="1525"/>
      <c r="AJ331" s="1525"/>
      <c r="AK331" s="1525"/>
    </row>
    <row r="332" spans="2:37" ht="12.9"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407" t="s">
        <v>2681</v>
      </c>
      <c r="I335" s="1407"/>
      <c r="J335" s="1407"/>
      <c r="K335" s="1407"/>
      <c r="L335" s="1407"/>
      <c r="M335" s="1407"/>
      <c r="N335" s="1407"/>
      <c r="O335" s="1407"/>
      <c r="P335" s="1407"/>
      <c r="Q335" s="1407"/>
      <c r="R335" s="1407"/>
      <c r="T335" s="204" t="s">
        <v>887</v>
      </c>
      <c r="V335" s="3"/>
      <c r="W335" s="3"/>
      <c r="X335" s="3"/>
      <c r="Y335" s="3"/>
      <c r="AA335" s="1407" t="s">
        <v>2688</v>
      </c>
      <c r="AB335" s="1407"/>
      <c r="AC335" s="1407"/>
      <c r="AD335" s="1407"/>
      <c r="AE335" s="1407"/>
      <c r="AF335" s="1407"/>
      <c r="AG335" s="1407"/>
      <c r="AH335" s="1407"/>
      <c r="AI335" s="1407"/>
      <c r="AJ335" s="1407"/>
      <c r="AK335" s="1407"/>
    </row>
    <row r="336" spans="2:37" ht="12.9" customHeight="1">
      <c r="B336" s="3" t="s">
        <v>472</v>
      </c>
      <c r="C336" s="3"/>
      <c r="D336" s="3"/>
      <c r="E336" s="3"/>
      <c r="F336" s="3"/>
      <c r="H336" s="1371" t="s">
        <v>2682</v>
      </c>
      <c r="I336" s="1371"/>
      <c r="J336" s="1371"/>
      <c r="K336" s="1371"/>
      <c r="L336" s="1371"/>
      <c r="M336" s="1371"/>
      <c r="N336" s="1371"/>
      <c r="O336" s="1371"/>
      <c r="P336" s="1371"/>
      <c r="Q336" s="1371"/>
      <c r="R336" s="1371"/>
      <c r="T336" s="3" t="s">
        <v>472</v>
      </c>
      <c r="V336" s="3"/>
      <c r="W336" s="3"/>
      <c r="X336" s="3"/>
      <c r="Y336" s="3"/>
      <c r="AA336" s="1371" t="s">
        <v>2689</v>
      </c>
      <c r="AB336" s="1371"/>
      <c r="AC336" s="1371"/>
      <c r="AD336" s="1371"/>
      <c r="AE336" s="1371"/>
      <c r="AF336" s="1371"/>
      <c r="AG336" s="1371"/>
      <c r="AH336" s="1371"/>
      <c r="AI336" s="1371"/>
      <c r="AJ336" s="1371"/>
      <c r="AK336" s="1371"/>
    </row>
    <row r="337" spans="1:66" ht="12.9" customHeight="1">
      <c r="B337" s="3" t="s">
        <v>75</v>
      </c>
      <c r="C337" s="3"/>
      <c r="D337" s="3"/>
      <c r="E337" s="3"/>
      <c r="F337" s="3"/>
      <c r="H337" s="1371" t="s">
        <v>2683</v>
      </c>
      <c r="I337" s="1371"/>
      <c r="J337" s="1371"/>
      <c r="K337" s="1371"/>
      <c r="L337" s="1371"/>
      <c r="M337" s="1371"/>
      <c r="N337" s="1371"/>
      <c r="O337" s="1371"/>
      <c r="P337" s="1371"/>
      <c r="Q337" s="1371"/>
      <c r="R337" s="1371"/>
      <c r="T337" s="3" t="s">
        <v>75</v>
      </c>
      <c r="V337" s="3"/>
      <c r="W337" s="3"/>
      <c r="X337" s="3"/>
      <c r="Y337" s="3"/>
      <c r="AA337" s="1371" t="s">
        <v>2690</v>
      </c>
      <c r="AB337" s="1371"/>
      <c r="AC337" s="1371"/>
      <c r="AD337" s="1371"/>
      <c r="AE337" s="1371"/>
      <c r="AF337" s="1371"/>
      <c r="AG337" s="1371"/>
      <c r="AH337" s="1371"/>
      <c r="AI337" s="1371"/>
      <c r="AJ337" s="1371"/>
      <c r="AK337" s="1371"/>
    </row>
    <row r="338" spans="1:66" ht="12.9" customHeight="1">
      <c r="B338" s="3" t="s">
        <v>87</v>
      </c>
      <c r="C338" s="3"/>
      <c r="D338" s="3"/>
      <c r="E338" s="3"/>
      <c r="F338" s="3"/>
      <c r="G338" s="3"/>
      <c r="H338" s="1371" t="s">
        <v>2684</v>
      </c>
      <c r="I338" s="1371"/>
      <c r="J338" s="1371"/>
      <c r="K338" s="1371"/>
      <c r="L338" s="1371"/>
      <c r="M338" s="1371"/>
      <c r="N338" s="1371"/>
      <c r="O338" s="1371"/>
      <c r="P338" s="1371"/>
      <c r="Q338" s="1371"/>
      <c r="R338" s="1371"/>
      <c r="T338" s="3" t="s">
        <v>87</v>
      </c>
      <c r="V338" s="3"/>
      <c r="W338" s="3"/>
      <c r="X338" s="3"/>
      <c r="Y338" s="3"/>
      <c r="AA338" s="1371" t="s">
        <v>2691</v>
      </c>
      <c r="AB338" s="1371"/>
      <c r="AC338" s="1371"/>
      <c r="AD338" s="1371"/>
      <c r="AE338" s="1371"/>
      <c r="AF338" s="1371"/>
      <c r="AG338" s="1371"/>
      <c r="AH338" s="1371"/>
      <c r="AI338" s="1371"/>
      <c r="AJ338" s="1371"/>
      <c r="AK338" s="1371"/>
    </row>
    <row r="339" spans="1:66" ht="12.9" customHeight="1">
      <c r="B339" s="3" t="s">
        <v>88</v>
      </c>
      <c r="C339" s="3"/>
      <c r="D339" s="3"/>
      <c r="E339" s="3"/>
      <c r="F339" s="3"/>
      <c r="G339" s="3"/>
      <c r="H339" s="1542" t="s">
        <v>2685</v>
      </c>
      <c r="I339" s="1542"/>
      <c r="J339" s="1542"/>
      <c r="K339" s="1542"/>
      <c r="L339" s="1542"/>
      <c r="M339" s="1542"/>
      <c r="N339" s="4" t="s">
        <v>206</v>
      </c>
      <c r="O339" s="4"/>
      <c r="P339" s="1525"/>
      <c r="Q339" s="1525"/>
      <c r="R339" s="1525"/>
      <c r="S339" s="3"/>
      <c r="T339" s="3" t="s">
        <v>88</v>
      </c>
      <c r="V339" s="3"/>
      <c r="W339" s="3"/>
      <c r="X339" s="3"/>
      <c r="Y339" s="3"/>
      <c r="AA339" s="1568" t="s">
        <v>2692</v>
      </c>
      <c r="AB339" s="1542"/>
      <c r="AC339" s="1542"/>
      <c r="AD339" s="1542"/>
      <c r="AE339" s="1542"/>
      <c r="AF339" s="1542"/>
      <c r="AG339" s="4" t="s">
        <v>206</v>
      </c>
      <c r="AH339" s="4"/>
      <c r="AI339" s="1525"/>
      <c r="AJ339" s="1525"/>
      <c r="AK339" s="1525"/>
    </row>
    <row r="340" spans="1:66" ht="12.9" customHeight="1">
      <c r="B340" s="3" t="s">
        <v>89</v>
      </c>
      <c r="C340" s="3"/>
      <c r="D340" s="3"/>
      <c r="E340" s="3"/>
      <c r="F340" s="3"/>
      <c r="G340" s="3"/>
      <c r="H340" s="1487" t="s">
        <v>2686</v>
      </c>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2.9" customHeight="1">
      <c r="B341" s="3" t="s">
        <v>76</v>
      </c>
      <c r="C341" s="3"/>
      <c r="D341" s="3"/>
      <c r="E341" s="3"/>
      <c r="F341" s="3"/>
      <c r="G341" s="3"/>
      <c r="H341" s="1371" t="s">
        <v>2687</v>
      </c>
      <c r="I341" s="1371"/>
      <c r="J341" s="1371"/>
      <c r="K341" s="1371"/>
      <c r="L341" s="1371"/>
      <c r="M341" s="1371"/>
      <c r="N341" s="1407"/>
      <c r="O341" s="1407"/>
      <c r="P341" s="1407"/>
      <c r="Q341" s="1407"/>
      <c r="R341" s="1407"/>
      <c r="S341" s="3"/>
      <c r="T341" s="3" t="s">
        <v>76</v>
      </c>
      <c r="V341" s="3"/>
      <c r="W341" s="3"/>
      <c r="X341" s="3"/>
      <c r="Y341" s="3"/>
      <c r="AA341" s="1371" t="s">
        <v>2693</v>
      </c>
      <c r="AB341" s="1371"/>
      <c r="AC341" s="1371"/>
      <c r="AD341" s="1371"/>
      <c r="AE341" s="1371"/>
      <c r="AF341" s="1371"/>
      <c r="AG341" s="1407"/>
      <c r="AH341" s="1407"/>
      <c r="AI341" s="1407"/>
      <c r="AJ341" s="1407"/>
      <c r="AK341" s="1407"/>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 customHeight="1">
      <c r="T350" s="8"/>
      <c r="U350" s="8"/>
      <c r="V350" s="8"/>
      <c r="W350" s="8"/>
      <c r="X350" s="8"/>
      <c r="Y350" s="8"/>
      <c r="Z350" s="8"/>
      <c r="AU350" s="95"/>
      <c r="AV350" s="95"/>
      <c r="AW350" s="95"/>
      <c r="AX350" s="95"/>
      <c r="AY350" s="95"/>
    </row>
    <row r="351" spans="1:66" ht="12.9" customHeight="1">
      <c r="A351" s="1534" t="s">
        <v>543</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2.9"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783</v>
      </c>
    </row>
    <row r="355" spans="1:46" ht="12.9" customHeight="1">
      <c r="D355" s="3" t="s">
        <v>2100</v>
      </c>
      <c r="M355" s="1415" t="s">
        <v>546</v>
      </c>
      <c r="N355" s="1415"/>
      <c r="P355" t="s">
        <v>1651</v>
      </c>
      <c r="AJ355" s="1415" t="s">
        <v>546</v>
      </c>
      <c r="AK355" s="1415"/>
    </row>
    <row r="356" spans="1:46" ht="12.9" customHeight="1">
      <c r="D356" s="3" t="s">
        <v>1640</v>
      </c>
      <c r="M356" s="1415" t="s">
        <v>592</v>
      </c>
      <c r="N356" s="1415"/>
      <c r="P356" s="3" t="s">
        <v>1720</v>
      </c>
      <c r="AJ356" s="1382">
        <v>0</v>
      </c>
      <c r="AK356" s="1382"/>
    </row>
    <row r="357" spans="1:46" ht="12.9" customHeight="1">
      <c r="D357" s="3" t="s">
        <v>705</v>
      </c>
      <c r="M357" s="1415" t="s">
        <v>592</v>
      </c>
      <c r="N357" s="1415"/>
      <c r="P357" t="s">
        <v>1650</v>
      </c>
      <c r="AJ357" s="1415" t="s">
        <v>670</v>
      </c>
      <c r="AK357" s="1415"/>
    </row>
    <row r="358" spans="1:46" ht="12.9" customHeight="1">
      <c r="D358" s="3" t="s">
        <v>706</v>
      </c>
      <c r="M358" s="1415" t="s">
        <v>592</v>
      </c>
      <c r="N358" s="1415"/>
      <c r="Q358" s="4"/>
    </row>
    <row r="359" spans="1:46" ht="12.9" customHeight="1">
      <c r="Q359" s="4"/>
    </row>
    <row r="360" spans="1:46" ht="12.9" customHeight="1">
      <c r="Q360" s="4"/>
    </row>
    <row r="361" spans="1:46" ht="12.9" customHeight="1">
      <c r="A361" s="2" t="s">
        <v>577</v>
      </c>
      <c r="B361" s="2"/>
      <c r="C361" s="2" t="s">
        <v>553</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 customHeight="1">
      <c r="E364" t="s">
        <v>370</v>
      </c>
      <c r="Y364" s="1415" t="s">
        <v>592</v>
      </c>
      <c r="Z364" s="1415"/>
    </row>
    <row r="365" spans="1:46" ht="12.9"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 customHeight="1">
      <c r="E368" s="1544" t="s">
        <v>707</v>
      </c>
      <c r="F368" s="1544"/>
      <c r="G368" s="1544"/>
      <c r="H368" s="1544"/>
      <c r="I368" s="1544"/>
      <c r="J368" s="1544"/>
      <c r="K368" s="1544"/>
      <c r="L368" s="1544"/>
      <c r="M368" s="1544"/>
      <c r="N368" s="1544"/>
      <c r="O368" s="1544"/>
      <c r="P368" s="1544"/>
      <c r="Q368" s="1544"/>
      <c r="R368" s="1544"/>
      <c r="S368" s="1544"/>
      <c r="T368" s="1544"/>
      <c r="U368" s="1544"/>
      <c r="V368" s="1544"/>
      <c r="W368" s="1544"/>
      <c r="X368" s="1544"/>
      <c r="Y368" s="1544"/>
      <c r="Z368" s="1544"/>
      <c r="AA368" s="1544"/>
      <c r="AB368" s="1544"/>
      <c r="AC368" s="1544"/>
      <c r="AD368" s="1544"/>
      <c r="AE368" s="1544"/>
      <c r="AF368" s="1544"/>
      <c r="AG368" s="1544"/>
      <c r="AH368" s="1544"/>
    </row>
    <row r="369" spans="1:34" ht="12.9" customHeight="1">
      <c r="E369" s="1544"/>
      <c r="F369" s="1544"/>
      <c r="G369" s="1544"/>
      <c r="H369" s="1544"/>
      <c r="I369" s="1544"/>
      <c r="J369" s="1544"/>
      <c r="K369" s="1544"/>
      <c r="L369" s="1544"/>
      <c r="M369" s="1544"/>
      <c r="N369" s="1544"/>
      <c r="O369" s="1544"/>
      <c r="P369" s="1544"/>
      <c r="Q369" s="1544"/>
      <c r="R369" s="1544"/>
      <c r="S369" s="1544"/>
      <c r="T369" s="1544"/>
      <c r="U369" s="1544"/>
      <c r="V369" s="1544"/>
      <c r="W369" s="1544"/>
      <c r="X369" s="1544"/>
      <c r="Y369" s="1544"/>
      <c r="Z369" s="1544"/>
      <c r="AA369" s="1544"/>
      <c r="AB369" s="1544"/>
      <c r="AC369" s="1544"/>
      <c r="AD369" s="1544"/>
      <c r="AE369" s="1544"/>
      <c r="AF369" s="1544"/>
      <c r="AG369" s="1544"/>
      <c r="AH369" s="1544"/>
    </row>
    <row r="370" spans="1:34" ht="12.9"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 customHeight="1">
      <c r="C375" s="512"/>
      <c r="E375" s="4"/>
      <c r="F375" s="4"/>
      <c r="G375" s="4"/>
      <c r="H375" s="4"/>
      <c r="I375" s="4"/>
      <c r="J375" s="4"/>
      <c r="K375" s="4"/>
      <c r="L375" s="4"/>
    </row>
    <row r="376" spans="1:34" ht="12.9" customHeight="1">
      <c r="D376" s="2" t="s">
        <v>976</v>
      </c>
      <c r="E376" s="2"/>
      <c r="F376" s="4"/>
      <c r="G376" s="4"/>
      <c r="H376" s="4"/>
      <c r="I376" s="4"/>
      <c r="J376" s="4"/>
      <c r="K376" s="4"/>
      <c r="L376" s="4"/>
    </row>
    <row r="377" spans="1:34" ht="12.9"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 customHeight="1">
      <c r="E378" s="4" t="s">
        <v>988</v>
      </c>
      <c r="F378" s="4"/>
      <c r="G378" s="4"/>
      <c r="H378" s="4"/>
      <c r="I378" s="4"/>
      <c r="J378" s="4"/>
      <c r="K378" s="4"/>
      <c r="L378" s="4"/>
      <c r="N378" s="1443"/>
      <c r="O378" s="1443"/>
      <c r="P378" s="1443"/>
    </row>
    <row r="379" spans="1:34" ht="12.9" customHeight="1">
      <c r="E379" s="204" t="s">
        <v>2087</v>
      </c>
      <c r="F379" s="4"/>
      <c r="G379" s="4"/>
      <c r="H379" s="4"/>
      <c r="I379" s="4"/>
      <c r="J379" s="4"/>
      <c r="K379" s="4"/>
      <c r="L379" s="4"/>
      <c r="AG379" s="1446" t="s">
        <v>592</v>
      </c>
      <c r="AH379" s="1446"/>
    </row>
    <row r="380" spans="1:34" ht="12.9" customHeight="1">
      <c r="E380" s="4"/>
      <c r="F380" s="4"/>
      <c r="G380" s="4" t="s">
        <v>2088</v>
      </c>
      <c r="H380" s="4"/>
      <c r="I380" s="4"/>
      <c r="J380" s="4"/>
      <c r="K380" s="4"/>
      <c r="L380" s="4"/>
      <c r="AG380" s="1446" t="s">
        <v>592</v>
      </c>
      <c r="AH380" s="1446"/>
    </row>
    <row r="381" spans="1:34" ht="12.9" customHeight="1">
      <c r="E381" s="4"/>
      <c r="F381" s="4"/>
      <c r="G381" s="320" t="s">
        <v>989</v>
      </c>
      <c r="H381" s="4"/>
      <c r="I381" s="4"/>
      <c r="J381" s="4"/>
      <c r="K381" s="4"/>
      <c r="L381" s="4"/>
      <c r="V381" s="1415" t="s">
        <v>592</v>
      </c>
      <c r="W381" s="1415"/>
      <c r="Y381" s="22" t="s">
        <v>981</v>
      </c>
    </row>
    <row r="382" spans="1:34" ht="12.9" customHeight="1">
      <c r="E382" s="4" t="s">
        <v>982</v>
      </c>
      <c r="F382" s="4"/>
      <c r="G382" s="4"/>
      <c r="H382" s="4"/>
      <c r="I382" s="4"/>
      <c r="J382" s="4"/>
      <c r="K382" s="4"/>
      <c r="L382" s="4"/>
      <c r="V382" s="1415" t="s">
        <v>592</v>
      </c>
      <c r="W382" s="1415"/>
      <c r="Y382" s="4" t="s">
        <v>983</v>
      </c>
    </row>
    <row r="383" spans="1:34" ht="12.9" customHeight="1"/>
    <row r="384" spans="1:34" ht="12.9" customHeight="1">
      <c r="A384" s="2" t="s">
        <v>78</v>
      </c>
      <c r="B384" s="2"/>
    </row>
    <row r="385" spans="4:36" ht="12.9" customHeight="1">
      <c r="D385" t="s">
        <v>428</v>
      </c>
      <c r="J385" s="1407" t="s">
        <v>2698</v>
      </c>
      <c r="K385" s="1407"/>
      <c r="L385" s="1407"/>
      <c r="M385" s="1407"/>
      <c r="N385" s="1407"/>
      <c r="O385" s="1407"/>
      <c r="P385" s="1407"/>
      <c r="Q385" s="1407"/>
      <c r="R385" s="1407"/>
      <c r="S385" s="1407"/>
      <c r="T385" s="1407"/>
      <c r="U385" s="1407"/>
      <c r="V385" s="8" t="s">
        <v>83</v>
      </c>
      <c r="W385" s="8"/>
      <c r="X385" s="8"/>
      <c r="Y385" s="8"/>
      <c r="Z385" s="8"/>
      <c r="AA385" s="8"/>
      <c r="AB385" s="8"/>
      <c r="AC385" s="1407" t="s">
        <v>2640</v>
      </c>
      <c r="AD385" s="1407"/>
      <c r="AE385" s="1407"/>
      <c r="AF385" s="1407"/>
      <c r="AG385" s="1407"/>
      <c r="AH385" s="1407"/>
      <c r="AI385" s="1407"/>
      <c r="AJ385" s="1407"/>
    </row>
    <row r="386" spans="4:36" ht="12.9" customHeight="1">
      <c r="D386" s="3" t="s">
        <v>1183</v>
      </c>
      <c r="J386" s="1371" t="s">
        <v>2640</v>
      </c>
      <c r="K386" s="1371"/>
      <c r="L386" s="1371"/>
      <c r="M386" s="1371"/>
      <c r="N386" s="1371"/>
      <c r="O386" s="1371"/>
      <c r="P386" s="1371"/>
      <c r="Q386" s="1371"/>
      <c r="R386" s="1371"/>
      <c r="S386" s="1371"/>
      <c r="T386" s="1371"/>
      <c r="U386" s="1371"/>
      <c r="V386" s="3" t="s">
        <v>1183</v>
      </c>
      <c r="W386" s="8"/>
      <c r="X386" s="8"/>
      <c r="Y386" s="8"/>
      <c r="Z386" s="8"/>
      <c r="AA386" s="8"/>
      <c r="AB386" s="8"/>
      <c r="AC386" s="1407" t="s">
        <v>250</v>
      </c>
      <c r="AD386" s="1407"/>
      <c r="AE386" s="1407"/>
      <c r="AF386" s="1407"/>
      <c r="AG386" s="1407"/>
      <c r="AH386" s="1407"/>
      <c r="AI386" s="1407"/>
      <c r="AJ386" s="1407"/>
    </row>
    <row r="387" spans="4:36" ht="12.9" customHeight="1">
      <c r="D387" s="3" t="s">
        <v>442</v>
      </c>
      <c r="J387" s="1371" t="s">
        <v>2699</v>
      </c>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 customHeight="1">
      <c r="D388" t="s">
        <v>1179</v>
      </c>
      <c r="J388" s="1427" t="s">
        <v>2700</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 customHeight="1">
      <c r="D389" t="s">
        <v>4</v>
      </c>
      <c r="Q389" s="1589"/>
      <c r="R389" s="1589"/>
      <c r="S389" s="1589"/>
      <c r="T389" s="1589"/>
      <c r="U389" s="1589"/>
      <c r="V389" t="s">
        <v>309</v>
      </c>
      <c r="AI389" s="1415" t="s">
        <v>670</v>
      </c>
      <c r="AJ389" s="1415"/>
    </row>
    <row r="390" spans="4:36" ht="12.9" customHeight="1">
      <c r="D390" t="s">
        <v>5</v>
      </c>
      <c r="Q390" s="1520"/>
      <c r="R390" s="1521"/>
      <c r="S390" s="1521"/>
      <c r="T390" s="1521"/>
      <c r="U390" s="1521"/>
      <c r="W390" s="21" t="s">
        <v>74</v>
      </c>
      <c r="AG390" s="1448"/>
      <c r="AH390" s="1448"/>
      <c r="AI390" s="1448"/>
      <c r="AJ390" s="1448"/>
    </row>
    <row r="391" spans="4:36" ht="12.9" customHeight="1">
      <c r="D391" t="s">
        <v>427</v>
      </c>
      <c r="Q391" s="1449">
        <v>1650000</v>
      </c>
      <c r="R391" s="1449"/>
      <c r="S391" s="1449"/>
      <c r="T391" s="1449"/>
      <c r="U391" s="1449"/>
      <c r="V391" s="3" t="s">
        <v>1182</v>
      </c>
      <c r="AG391" s="1518">
        <v>46037</v>
      </c>
      <c r="AH391" s="1518"/>
      <c r="AI391" s="1518"/>
      <c r="AJ391" s="1518"/>
    </row>
    <row r="392" spans="4:36" ht="12.9" customHeight="1">
      <c r="D392" t="s">
        <v>88</v>
      </c>
      <c r="I392" s="1568" t="s">
        <v>2641</v>
      </c>
      <c r="J392" s="1542"/>
      <c r="K392" s="1542"/>
      <c r="L392" s="1542"/>
      <c r="M392" s="1542"/>
      <c r="N392" s="1542"/>
      <c r="Q392" s="4" t="s">
        <v>206</v>
      </c>
      <c r="S392" s="1447"/>
      <c r="T392" s="1447"/>
      <c r="U392" s="1447"/>
      <c r="V392" t="s">
        <v>73</v>
      </c>
      <c r="AI392" s="1415" t="s">
        <v>670</v>
      </c>
      <c r="AJ392" s="1415"/>
    </row>
    <row r="393" spans="4:36" ht="12.9" customHeight="1">
      <c r="D393" t="s">
        <v>310</v>
      </c>
      <c r="Q393" s="1524">
        <v>1000</v>
      </c>
      <c r="R393" s="1524"/>
      <c r="S393" s="1524"/>
      <c r="T393" s="1524"/>
      <c r="U393" s="1524"/>
      <c r="V393" t="s">
        <v>311</v>
      </c>
      <c r="AG393" s="1448">
        <v>8000</v>
      </c>
      <c r="AH393" s="1448"/>
      <c r="AI393" s="1448"/>
      <c r="AJ393" s="1448"/>
    </row>
    <row r="394" spans="4:36" ht="12.9" customHeight="1">
      <c r="D394" t="s">
        <v>312</v>
      </c>
      <c r="Q394" s="1579"/>
      <c r="R394" s="1579"/>
      <c r="S394" s="1579"/>
      <c r="T394" s="1579"/>
      <c r="U394" s="1579"/>
      <c r="V394" t="s">
        <v>1164</v>
      </c>
      <c r="AG394" s="1448"/>
      <c r="AH394" s="1448"/>
      <c r="AI394" s="1448"/>
      <c r="AJ394" s="1448"/>
    </row>
    <row r="395" spans="4:36" ht="12.9" customHeight="1">
      <c r="D395" t="s">
        <v>1163</v>
      </c>
      <c r="AG395" s="1448"/>
      <c r="AH395" s="1448"/>
      <c r="AI395" s="1448"/>
      <c r="AJ395" s="1448"/>
    </row>
    <row r="396" spans="4:36" ht="12.9" customHeight="1">
      <c r="AG396" s="456"/>
      <c r="AH396" s="456"/>
      <c r="AI396" s="456"/>
      <c r="AJ396" s="456"/>
    </row>
    <row r="397" spans="4:36" ht="12.9" customHeight="1">
      <c r="D397" s="3" t="s">
        <v>2144</v>
      </c>
      <c r="AG397" s="456"/>
      <c r="AH397" s="456"/>
      <c r="AI397" s="1415" t="s">
        <v>670</v>
      </c>
      <c r="AJ397" s="1415"/>
    </row>
    <row r="398" spans="4:36" ht="12.9"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 customHeight="1">
      <c r="AG400" s="456"/>
      <c r="AH400" s="456"/>
      <c r="AI400" s="456"/>
      <c r="AJ400" s="456"/>
    </row>
    <row r="401" spans="1:36" ht="12.9" customHeight="1">
      <c r="D401" s="3" t="s">
        <v>1661</v>
      </c>
      <c r="S401" s="1434" t="s">
        <v>670</v>
      </c>
      <c r="T401" s="1434"/>
      <c r="U401" s="1434"/>
      <c r="V401" t="s">
        <v>1662</v>
      </c>
      <c r="AG401" s="1523"/>
      <c r="AH401" s="1523"/>
      <c r="AI401" s="1523"/>
      <c r="AJ401" s="1523"/>
    </row>
    <row r="402" spans="1:36" ht="12.9" customHeight="1">
      <c r="D402" s="3" t="s">
        <v>1659</v>
      </c>
      <c r="S402" s="1434" t="s">
        <v>592</v>
      </c>
      <c r="T402" s="1434"/>
      <c r="U402" s="1434"/>
      <c r="V402" t="s">
        <v>1664</v>
      </c>
      <c r="AE402" s="1517"/>
      <c r="AF402" s="1517"/>
      <c r="AG402" s="1517"/>
      <c r="AH402" s="1517"/>
      <c r="AI402" s="1517"/>
      <c r="AJ402" s="1517"/>
    </row>
    <row r="403" spans="1:36" ht="12.9" customHeight="1">
      <c r="D403" s="3" t="s">
        <v>1660</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 customHeight="1">
      <c r="D404" s="3" t="s">
        <v>1663</v>
      </c>
      <c r="K404" s="1519"/>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 customHeight="1">
      <c r="D405" s="3" t="s">
        <v>1666</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 customHeight="1">
      <c r="AG408" s="456"/>
      <c r="AH408" s="456"/>
      <c r="AI408" s="456"/>
      <c r="AJ408" s="456"/>
    </row>
    <row r="409" spans="1:36" ht="12.9" customHeight="1">
      <c r="A409" s="2" t="s">
        <v>590</v>
      </c>
      <c r="B409" s="2"/>
      <c r="C409" s="2" t="s">
        <v>111</v>
      </c>
    </row>
    <row r="410" spans="1:36" ht="12.9" customHeight="1">
      <c r="B410" s="2"/>
      <c r="C410" s="2"/>
      <c r="D410" s="2" t="s">
        <v>1205</v>
      </c>
      <c r="I410" s="1522" t="s">
        <v>2618</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 customHeight="1">
      <c r="E411" t="s">
        <v>106</v>
      </c>
      <c r="R411" s="1415" t="s">
        <v>546</v>
      </c>
      <c r="S411" s="1415"/>
      <c r="AC411" s="27" t="s">
        <v>571</v>
      </c>
      <c r="AD411" s="1390">
        <v>6</v>
      </c>
      <c r="AE411" s="1390"/>
    </row>
    <row r="412" spans="1:36" ht="12.9" customHeight="1">
      <c r="E412" t="s">
        <v>107</v>
      </c>
      <c r="R412" s="1415" t="s">
        <v>592</v>
      </c>
      <c r="S412" s="1415"/>
      <c r="AC412" s="27" t="s">
        <v>571</v>
      </c>
      <c r="AD412" s="1390"/>
      <c r="AE412" s="1390"/>
    </row>
    <row r="413" spans="1:36" ht="12.9" customHeight="1">
      <c r="E413" t="s">
        <v>108</v>
      </c>
      <c r="S413" s="1415" t="s">
        <v>592</v>
      </c>
      <c r="T413" s="1415"/>
    </row>
    <row r="414" spans="1:36" ht="12.9" customHeight="1">
      <c r="E414" t="s">
        <v>170</v>
      </c>
      <c r="H414" s="1580" t="s">
        <v>334</v>
      </c>
      <c r="I414" s="1580"/>
      <c r="J414" s="1580"/>
      <c r="K414" s="1580"/>
      <c r="L414" s="1580"/>
      <c r="M414" s="1580"/>
      <c r="N414" s="1580"/>
      <c r="O414" s="1580"/>
      <c r="P414" s="1580"/>
      <c r="Q414" s="1580"/>
      <c r="R414" s="1580"/>
      <c r="S414" s="1580"/>
      <c r="T414" s="1580"/>
      <c r="U414" s="1580"/>
      <c r="V414" s="1580"/>
      <c r="W414" s="1580"/>
      <c r="X414" s="1580"/>
      <c r="Y414" s="1580"/>
      <c r="Z414" s="1580"/>
      <c r="AA414" s="1580"/>
      <c r="AB414" s="1580"/>
      <c r="AC414" s="1580"/>
      <c r="AD414" s="1580"/>
      <c r="AE414" s="1580"/>
    </row>
    <row r="415" spans="1:36" ht="12.9" customHeight="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row>
    <row r="416" spans="1:36" ht="12.9" customHeight="1"/>
    <row r="417" spans="1:39" ht="12.9" customHeight="1">
      <c r="A417" s="2" t="s">
        <v>591</v>
      </c>
      <c r="B417" s="2"/>
      <c r="C417" s="2"/>
      <c r="D417" s="2" t="s">
        <v>114</v>
      </c>
      <c r="AF417" s="2" t="s">
        <v>958</v>
      </c>
    </row>
    <row r="418" spans="1:39" ht="12.9" customHeight="1">
      <c r="E418" s="1443"/>
      <c r="F418" s="1443"/>
      <c r="G418" s="1443"/>
      <c r="H418" s="13" t="s">
        <v>115</v>
      </c>
      <c r="I418" s="1443"/>
      <c r="J418" s="1443"/>
      <c r="K418" s="1443"/>
      <c r="L418" t="s">
        <v>116</v>
      </c>
      <c r="N418" s="27" t="s">
        <v>576</v>
      </c>
      <c r="P418" s="1583">
        <v>0.25</v>
      </c>
      <c r="Q418" s="1583"/>
      <c r="R418" s="1583"/>
      <c r="S418" t="s">
        <v>117</v>
      </c>
      <c r="W418" s="1444">
        <f>IF(E418&gt;0,(E418*I418),(P418*43560))</f>
        <v>10890</v>
      </c>
      <c r="X418" s="1444"/>
      <c r="Y418" s="1444"/>
      <c r="Z418" t="s">
        <v>118</v>
      </c>
      <c r="AF418" s="1584">
        <f>IFERROR(IF(P418&gt;0,(AG437/P418),(AG437/(W418/43560))),0)</f>
        <v>200</v>
      </c>
      <c r="AG418" s="1584"/>
      <c r="AH418" s="1584"/>
      <c r="AM418" s="3"/>
    </row>
    <row r="419" spans="1:39" ht="12.9" customHeight="1">
      <c r="E419" t="s">
        <v>51</v>
      </c>
    </row>
    <row r="420" spans="1:39" ht="12.9"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 customHeight="1">
      <c r="E421" s="118" t="s">
        <v>1737</v>
      </c>
      <c r="F421" s="1013"/>
      <c r="G421" s="1013"/>
      <c r="H421" s="1013"/>
      <c r="I421" s="1582">
        <v>0.25</v>
      </c>
      <c r="J421" s="1582"/>
      <c r="K421" s="1582"/>
      <c r="L421" s="1013"/>
      <c r="M421" s="118"/>
      <c r="N421" s="1013"/>
      <c r="O421" s="1013"/>
      <c r="P421" s="1834">
        <f>(DU755+DU778+DU800)/I421</f>
        <v>360</v>
      </c>
      <c r="Q421" s="1834"/>
      <c r="R421" s="1834"/>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593</v>
      </c>
      <c r="B423" s="2"/>
      <c r="C423" s="2"/>
      <c r="D423" s="2" t="s">
        <v>120</v>
      </c>
    </row>
    <row r="424" spans="1:39" ht="12.9" customHeight="1">
      <c r="E424" t="s">
        <v>121</v>
      </c>
      <c r="P424" s="1415">
        <v>1</v>
      </c>
      <c r="Q424" s="1415"/>
      <c r="S424" t="s">
        <v>189</v>
      </c>
      <c r="AE424" s="1415">
        <v>1</v>
      </c>
      <c r="AF424" s="1415"/>
    </row>
    <row r="425" spans="1:39" ht="12.9" customHeight="1">
      <c r="E425" t="s">
        <v>190</v>
      </c>
      <c r="P425" s="1415">
        <v>1</v>
      </c>
      <c r="Q425" s="1415"/>
      <c r="S425" t="s">
        <v>131</v>
      </c>
      <c r="AE425" s="1415" t="s">
        <v>592</v>
      </c>
      <c r="AF425" s="1415"/>
    </row>
    <row r="426" spans="1:39" ht="12.9" customHeight="1">
      <c r="F426" s="28" t="s">
        <v>132</v>
      </c>
    </row>
    <row r="427" spans="1:39" ht="12.9" customHeight="1">
      <c r="F427" s="1528" t="s">
        <v>2619</v>
      </c>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 customHeight="1">
      <c r="E429" t="s">
        <v>609</v>
      </c>
      <c r="P429" s="1"/>
      <c r="Q429" s="1415" t="s">
        <v>670</v>
      </c>
      <c r="R429" s="1415"/>
    </row>
    <row r="430" spans="1:39" ht="12.9" customHeight="1">
      <c r="F430" t="s">
        <v>610</v>
      </c>
      <c r="P430" s="1"/>
      <c r="Q430" s="1"/>
      <c r="AF430" s="1415" t="s">
        <v>592</v>
      </c>
      <c r="AG430" s="1505"/>
    </row>
    <row r="431" spans="1:39" ht="12.9" customHeight="1"/>
    <row r="432" spans="1:39" ht="12.9" customHeight="1">
      <c r="A432" s="2"/>
      <c r="B432" s="2"/>
      <c r="C432" s="2"/>
      <c r="E432" s="4" t="s">
        <v>308</v>
      </c>
      <c r="Z432" s="1415" t="s">
        <v>670</v>
      </c>
      <c r="AA432" s="1415"/>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 customHeight="1"/>
    <row r="436" spans="1:55" ht="12.9" customHeight="1">
      <c r="A436" s="2" t="s">
        <v>468</v>
      </c>
      <c r="B436" s="2"/>
      <c r="C436" s="2"/>
      <c r="D436" s="2" t="s">
        <v>765</v>
      </c>
      <c r="AF436" s="48"/>
    </row>
    <row r="437" spans="1:55" ht="12.9"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50</v>
      </c>
      <c r="AH437" s="1385"/>
      <c r="AI437" s="1385"/>
      <c r="AJ437" s="1385"/>
    </row>
    <row r="438" spans="1:55" ht="12.9"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49</v>
      </c>
      <c r="AH439" s="1385"/>
      <c r="AI439" s="1385"/>
      <c r="AJ439" s="1385"/>
    </row>
    <row r="440" spans="1:55" ht="12.9"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49</v>
      </c>
      <c r="AH440" s="1385"/>
      <c r="AI440" s="1385"/>
      <c r="AJ440" s="1385"/>
    </row>
    <row r="441" spans="1:55" ht="12.9"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49858</v>
      </c>
      <c r="AH442" s="1416"/>
      <c r="AI442" s="1416"/>
      <c r="AJ442" s="1416"/>
    </row>
    <row r="443" spans="1:55" ht="12.9"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49858</v>
      </c>
      <c r="AH443" s="1416"/>
      <c r="AI443" s="1416"/>
      <c r="AJ443" s="1416"/>
    </row>
    <row r="444" spans="1:55" ht="12.9"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1923</v>
      </c>
      <c r="AH446" s="1416"/>
      <c r="AI446" s="1416"/>
      <c r="AJ446" s="1416"/>
      <c r="AZ446" s="34"/>
      <c r="BA446" s="34"/>
      <c r="BB446" s="34"/>
      <c r="BC446" s="34"/>
    </row>
    <row r="447" spans="1:55" ht="12.9"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1970</v>
      </c>
      <c r="AH447" s="1416"/>
      <c r="AI447" s="1416"/>
      <c r="AJ447" s="1416"/>
      <c r="AZ447" s="3"/>
      <c r="BA447" s="3"/>
      <c r="BB447" s="3"/>
      <c r="BC447" s="3"/>
    </row>
    <row r="448" spans="1:55" ht="12.9"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f>453+1923</f>
        <v>2376</v>
      </c>
      <c r="AH448" s="1416"/>
      <c r="AI448" s="1416"/>
      <c r="AJ448" s="1416"/>
      <c r="AZ448" s="3"/>
      <c r="BA448" s="3"/>
      <c r="BB448" s="3"/>
      <c r="BC448" s="3"/>
    </row>
    <row r="449" spans="1:55" ht="12.9"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 customHeight="1">
      <c r="D450" s="1576" t="s">
        <v>1040</v>
      </c>
      <c r="E450" s="1577"/>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F450" s="1578"/>
      <c r="AG450" s="1429">
        <f>AG442+AG446+AG448+AG449</f>
        <v>54157</v>
      </c>
      <c r="AH450" s="1429"/>
      <c r="AI450" s="1429"/>
      <c r="AJ450" s="1429"/>
      <c r="AZ450" s="3"/>
      <c r="BA450" s="3"/>
      <c r="BB450" s="3"/>
      <c r="BC450" s="3"/>
    </row>
    <row r="451" spans="1:55" ht="12.9" customHeight="1">
      <c r="D451" s="1585" t="s">
        <v>1207</v>
      </c>
      <c r="E451" s="1585"/>
      <c r="F451" s="1585"/>
      <c r="G451" s="1585"/>
      <c r="H451" s="1585"/>
      <c r="I451" s="1585"/>
      <c r="J451" s="1585"/>
      <c r="K451" s="1585"/>
      <c r="L451" s="1585"/>
      <c r="M451" s="1585"/>
      <c r="N451" s="1585"/>
      <c r="O451" s="1585"/>
      <c r="P451" s="1585"/>
      <c r="Q451" s="1585"/>
      <c r="R451" s="1585"/>
      <c r="S451" s="1585"/>
      <c r="T451" s="1585"/>
      <c r="U451" s="1585"/>
      <c r="V451" s="1585"/>
      <c r="W451" s="1585"/>
      <c r="X451" s="1585"/>
      <c r="Y451" s="1585"/>
      <c r="Z451" s="1585"/>
      <c r="AA451" s="1585"/>
      <c r="AB451" s="1585"/>
      <c r="AC451" s="1585"/>
      <c r="AD451" s="1585"/>
      <c r="AE451" s="1585"/>
      <c r="AF451" s="1585"/>
      <c r="AG451" s="1585"/>
      <c r="AH451" s="1585"/>
      <c r="AI451" s="1585"/>
      <c r="AJ451" s="1585"/>
      <c r="AZ451" s="3"/>
      <c r="BA451" s="3"/>
      <c r="BB451" s="3"/>
      <c r="BC451" s="3"/>
    </row>
    <row r="452" spans="1:55" ht="12.9" customHeight="1">
      <c r="D452" s="1586"/>
      <c r="E452" s="1586"/>
      <c r="F452" s="1586"/>
      <c r="G452" s="1586"/>
      <c r="H452" s="1586"/>
      <c r="I452" s="1586"/>
      <c r="J452" s="1586"/>
      <c r="K452" s="1586"/>
      <c r="L452" s="1586"/>
      <c r="M452" s="1586"/>
      <c r="N452" s="1586"/>
      <c r="O452" s="1586"/>
      <c r="P452" s="1586"/>
      <c r="Q452" s="1586"/>
      <c r="R452" s="1586"/>
      <c r="S452" s="1586"/>
      <c r="T452" s="1586"/>
      <c r="U452" s="1586"/>
      <c r="V452" s="1586"/>
      <c r="W452" s="1586"/>
      <c r="X452" s="1586"/>
      <c r="Y452" s="1586"/>
      <c r="Z452" s="1586"/>
      <c r="AA452" s="1586"/>
      <c r="AB452" s="1586"/>
      <c r="AC452" s="1586"/>
      <c r="AD452" s="1586"/>
      <c r="AE452" s="1586"/>
      <c r="AF452" s="1586"/>
      <c r="AG452" s="1586"/>
      <c r="AH452" s="1586"/>
      <c r="AI452" s="1586"/>
      <c r="AJ452" s="1586"/>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897384.86</v>
      </c>
      <c r="AD454" s="1373"/>
      <c r="AE454" s="1373"/>
      <c r="AF454" s="1373"/>
      <c r="AG454" s="177"/>
      <c r="AH454" s="177"/>
      <c r="AI454" s="177"/>
      <c r="AJ454" s="183"/>
      <c r="AZ454" s="3"/>
      <c r="BA454" s="3" t="str">
        <f>AG575</f>
        <v>Yes</v>
      </c>
      <c r="BB454" s="3"/>
      <c r="BC454" s="3"/>
    </row>
    <row r="455" spans="1:55" ht="12.9"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885780.38</v>
      </c>
      <c r="AD455" s="1373"/>
      <c r="AE455" s="1373"/>
      <c r="AF455" s="1373"/>
      <c r="AG455" s="177"/>
      <c r="AH455" s="177"/>
      <c r="AI455" s="177"/>
      <c r="AJ455" s="183"/>
      <c r="AZ455" s="3"/>
      <c r="BA455" s="3"/>
      <c r="BB455" s="3"/>
      <c r="BC455" s="3"/>
    </row>
    <row r="456" spans="1:55" ht="12.9"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826066.74</v>
      </c>
      <c r="AD456" s="1373"/>
      <c r="AE456" s="1373"/>
      <c r="AF456" s="1373"/>
      <c r="AG456" s="177"/>
      <c r="AH456" s="177"/>
      <c r="AI456" s="177"/>
      <c r="AJ456" s="183"/>
      <c r="AZ456" s="3"/>
      <c r="BA456" s="3"/>
      <c r="BB456" s="3"/>
      <c r="BC456" s="3"/>
    </row>
    <row r="457" spans="1:55" ht="12.9"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671"/>
      <c r="H474" s="1672"/>
      <c r="I474" s="1672"/>
      <c r="J474" s="1672"/>
      <c r="K474" s="1672"/>
      <c r="L474" s="1672"/>
      <c r="M474" s="1672"/>
      <c r="N474" s="1672"/>
      <c r="O474" s="1672"/>
      <c r="P474" s="1672"/>
      <c r="Q474" s="1672"/>
      <c r="R474" s="1672"/>
      <c r="S474" s="1672"/>
      <c r="T474" s="1672"/>
      <c r="U474" s="1672"/>
      <c r="V474" s="1673"/>
      <c r="W474" s="1391">
        <v>0</v>
      </c>
      <c r="X474" s="1392"/>
      <c r="Y474" s="1393"/>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 customHeight="1">
      <c r="AU479" s="95"/>
      <c r="AV479" s="95"/>
      <c r="AW479" s="95"/>
      <c r="AX479" s="95"/>
      <c r="AY479" s="95"/>
      <c r="AZ479" s="3"/>
      <c r="BA479" s="3" t="str">
        <f>AG599</f>
        <v>No</v>
      </c>
      <c r="BB479" s="3"/>
      <c r="BC479" s="3"/>
    </row>
    <row r="480" spans="1:55" ht="12.9" customHeight="1">
      <c r="A480" s="1534" t="s">
        <v>811</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2.9"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2.9" customHeight="1">
      <c r="AZ482" s="3"/>
      <c r="BB482" s="3"/>
      <c r="BC482" s="3"/>
    </row>
    <row r="483" spans="1:55" ht="12.9" customHeight="1">
      <c r="A483" s="2" t="s">
        <v>319</v>
      </c>
      <c r="C483" s="2" t="s">
        <v>809</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 customHeight="1">
      <c r="B486" s="45" t="s">
        <v>394</v>
      </c>
      <c r="C486" s="5"/>
      <c r="D486" s="5"/>
      <c r="E486" s="5"/>
      <c r="F486" s="5"/>
      <c r="G486" s="5"/>
      <c r="H486" s="5"/>
      <c r="I486" s="5"/>
      <c r="J486" s="5"/>
      <c r="K486" s="5"/>
      <c r="L486" s="5"/>
      <c r="M486" s="5"/>
      <c r="N486" s="5"/>
      <c r="O486" s="5"/>
      <c r="P486" s="5"/>
      <c r="Q486" s="1370" t="s">
        <v>2620</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 customHeight="1">
      <c r="B487" s="45" t="s">
        <v>395</v>
      </c>
      <c r="C487" s="5"/>
      <c r="D487" s="5"/>
      <c r="E487" s="5"/>
      <c r="F487" s="5"/>
      <c r="G487" s="5"/>
      <c r="H487" s="5"/>
      <c r="I487" s="5"/>
      <c r="J487" s="5"/>
      <c r="K487" s="5"/>
      <c r="L487" s="5"/>
      <c r="M487" s="5"/>
      <c r="N487" s="5"/>
      <c r="O487" s="5"/>
      <c r="P487" s="5"/>
      <c r="Q487" s="1370">
        <v>0</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 customHeight="1">
      <c r="B488" s="45" t="s">
        <v>396</v>
      </c>
      <c r="C488" s="5"/>
      <c r="D488" s="5"/>
      <c r="E488" s="5"/>
      <c r="F488" s="5"/>
      <c r="G488" s="5"/>
      <c r="H488" s="5"/>
      <c r="I488" s="5"/>
      <c r="J488" s="5"/>
      <c r="K488" s="5"/>
      <c r="L488" s="5"/>
      <c r="M488" s="5"/>
      <c r="N488" s="5"/>
      <c r="O488" s="5"/>
      <c r="P488" s="5"/>
      <c r="Q488" s="1370">
        <v>0</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 customHeight="1">
      <c r="B489" s="1453" t="s">
        <v>397</v>
      </c>
      <c r="C489" s="1454"/>
      <c r="D489" s="1454"/>
      <c r="E489" s="1454"/>
      <c r="F489" s="1454"/>
      <c r="G489" s="1454"/>
      <c r="H489" s="1454"/>
      <c r="I489" s="1454"/>
      <c r="J489" s="1454"/>
      <c r="K489" s="1454"/>
      <c r="L489" s="1454"/>
      <c r="M489" s="1454"/>
      <c r="N489" s="1454"/>
      <c r="O489" s="1454"/>
      <c r="P489" s="1455"/>
      <c r="Q489" s="1459" t="s">
        <v>546</v>
      </c>
      <c r="R489" s="1460"/>
      <c r="S489" s="1569" t="s">
        <v>166</v>
      </c>
      <c r="T489" s="1570"/>
      <c r="U489" s="1570"/>
      <c r="V489" s="1570"/>
      <c r="W489" s="1570"/>
      <c r="X489" s="1570"/>
      <c r="Y489" s="1570"/>
      <c r="Z489" s="1570"/>
      <c r="AA489" s="1570"/>
      <c r="AB489" s="1570"/>
      <c r="AC489" s="1570"/>
      <c r="AD489" s="1570"/>
      <c r="AE489" s="1570"/>
      <c r="AF489" s="1570"/>
      <c r="AG489" s="1570"/>
      <c r="AH489" s="1570"/>
      <c r="AI489" s="1570"/>
      <c r="AJ489" s="1570"/>
      <c r="AK489" s="1571"/>
      <c r="AZ489" s="3"/>
      <c r="BA489" s="3"/>
      <c r="BB489" s="3"/>
      <c r="BC489" s="3"/>
    </row>
    <row r="490" spans="1:55" ht="12.9" customHeight="1">
      <c r="B490" s="1456"/>
      <c r="C490" s="1457"/>
      <c r="D490" s="1457"/>
      <c r="E490" s="1457"/>
      <c r="F490" s="1457"/>
      <c r="G490" s="1457"/>
      <c r="H490" s="1457"/>
      <c r="I490" s="1457"/>
      <c r="J490" s="1457"/>
      <c r="K490" s="1457"/>
      <c r="L490" s="1457"/>
      <c r="M490" s="1457"/>
      <c r="N490" s="1457"/>
      <c r="O490" s="1457"/>
      <c r="P490" s="1458"/>
      <c r="Q490" s="1461"/>
      <c r="R490" s="1462"/>
      <c r="S490" s="1572"/>
      <c r="T490" s="1529"/>
      <c r="U490" s="1529"/>
      <c r="V490" s="1529"/>
      <c r="W490" s="1529"/>
      <c r="X490" s="1529"/>
      <c r="Y490" s="1529"/>
      <c r="Z490" s="1529"/>
      <c r="AA490" s="1529"/>
      <c r="AB490" s="1529"/>
      <c r="AC490" s="1529"/>
      <c r="AD490" s="1529"/>
      <c r="AE490" s="1529"/>
      <c r="AF490" s="1529"/>
      <c r="AG490" s="1529"/>
      <c r="AH490" s="1529"/>
      <c r="AI490" s="1529"/>
      <c r="AJ490" s="1529"/>
      <c r="AK490" s="1573"/>
      <c r="AZ490" s="3"/>
      <c r="BA490" s="3"/>
      <c r="BB490" s="3"/>
      <c r="BC490" s="3"/>
    </row>
    <row r="491" spans="1:55" ht="12.9"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 customHeight="1">
      <c r="B492" s="45" t="s">
        <v>398</v>
      </c>
      <c r="C492" s="5"/>
      <c r="D492" s="5"/>
      <c r="E492" s="5"/>
      <c r="F492" s="5"/>
      <c r="G492" s="5"/>
      <c r="H492" s="5"/>
      <c r="I492" s="5"/>
      <c r="J492" s="5"/>
      <c r="K492" s="5"/>
      <c r="L492" s="5"/>
      <c r="M492" s="5"/>
      <c r="N492" s="5"/>
      <c r="O492" s="5"/>
      <c r="P492" s="5"/>
      <c r="Q492" s="1370">
        <v>0</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 customHeight="1">
      <c r="B493" s="45" t="s">
        <v>399</v>
      </c>
      <c r="C493" s="5"/>
      <c r="D493" s="5"/>
      <c r="E493" s="5"/>
      <c r="F493" s="5"/>
      <c r="G493" s="5"/>
      <c r="H493" s="5"/>
      <c r="I493" s="5"/>
      <c r="J493" s="5"/>
      <c r="K493" s="5"/>
      <c r="L493" s="5"/>
      <c r="M493" s="5"/>
      <c r="N493" s="5"/>
      <c r="O493" s="5"/>
      <c r="P493" s="5"/>
      <c r="Q493" s="1370">
        <v>0</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 customHeight="1">
      <c r="B494" s="121" t="s">
        <v>1669</v>
      </c>
      <c r="C494" s="5"/>
      <c r="D494" s="5"/>
      <c r="E494" s="5"/>
      <c r="F494" s="5"/>
      <c r="G494" s="5"/>
      <c r="H494" s="5"/>
      <c r="I494" s="5"/>
      <c r="J494" s="5"/>
      <c r="K494" s="5"/>
      <c r="L494" s="5"/>
      <c r="M494" s="5"/>
      <c r="N494" s="5"/>
      <c r="O494" s="5"/>
      <c r="P494" s="5"/>
      <c r="Q494" s="1370">
        <v>0</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 customHeight="1">
      <c r="B495" s="121" t="s">
        <v>1670</v>
      </c>
      <c r="C495" s="5"/>
      <c r="D495" s="5"/>
      <c r="E495" s="5"/>
      <c r="F495" s="5"/>
      <c r="G495" s="5"/>
      <c r="H495" s="5"/>
      <c r="I495" s="5"/>
      <c r="J495" s="5"/>
      <c r="K495" s="5"/>
      <c r="L495" s="5"/>
      <c r="M495" s="1381"/>
      <c r="N495" s="1382"/>
      <c r="O495" s="1382"/>
      <c r="P495" s="1383"/>
      <c r="Q495" s="121" t="s">
        <v>1671</v>
      </c>
      <c r="R495" s="5"/>
      <c r="S495" s="5"/>
      <c r="T495" s="5"/>
      <c r="U495" s="5"/>
      <c r="V495" s="5"/>
      <c r="W495" s="5"/>
      <c r="X495" s="5"/>
      <c r="Y495" s="5"/>
      <c r="Z495" s="5"/>
      <c r="AA495" s="5"/>
      <c r="AB495" s="5"/>
      <c r="AC495" s="5"/>
      <c r="AD495" s="5"/>
      <c r="AE495" s="5"/>
      <c r="AF495" s="5"/>
      <c r="AG495" s="5"/>
      <c r="AH495" s="1381"/>
      <c r="AI495" s="1382"/>
      <c r="AJ495" s="1382"/>
      <c r="AK495" s="1383"/>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1</v>
      </c>
      <c r="AD501" s="1390"/>
      <c r="AE501" s="1390"/>
      <c r="AF501" s="1390"/>
      <c r="AG501" s="13" t="s">
        <v>403</v>
      </c>
      <c r="AH501" s="1427">
        <v>2024</v>
      </c>
      <c r="AI501" s="1427"/>
      <c r="AJ501" s="1427"/>
      <c r="AK501" s="1428"/>
      <c r="AZ501" s="3"/>
      <c r="BA501" s="3"/>
      <c r="BB501" s="3"/>
      <c r="BC501" s="3"/>
      <c r="BD501" s="3"/>
      <c r="BE501" s="3"/>
      <c r="BF501" s="3"/>
      <c r="BG501" s="3"/>
      <c r="BH501" s="3"/>
      <c r="BI501" s="3"/>
      <c r="BJ501" s="3"/>
      <c r="BK501" s="3"/>
      <c r="BL501" s="3"/>
      <c r="BM501" s="3"/>
      <c r="BN501" s="3"/>
    </row>
    <row r="502" spans="1:66" ht="12.9"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12</v>
      </c>
      <c r="AD502" s="1390"/>
      <c r="AE502" s="1390"/>
      <c r="AF502" s="1390"/>
      <c r="AG502" s="38" t="s">
        <v>403</v>
      </c>
      <c r="AH502" s="1427">
        <v>2022</v>
      </c>
      <c r="AI502" s="1427"/>
      <c r="AJ502" s="1427"/>
      <c r="AK502" s="1428"/>
      <c r="AZ502" s="3"/>
      <c r="BA502" s="3"/>
      <c r="BB502" s="3"/>
      <c r="BC502" s="3"/>
      <c r="BD502" s="3"/>
      <c r="BE502" s="3"/>
      <c r="BF502" s="3"/>
      <c r="BG502" s="3"/>
      <c r="BH502" s="3"/>
      <c r="BI502" s="3"/>
      <c r="BJ502" s="3"/>
      <c r="BK502" s="3"/>
      <c r="BL502" s="3"/>
      <c r="BM502" s="3"/>
      <c r="BN502" s="3"/>
    </row>
    <row r="503" spans="1:66" ht="12.9"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 customHeight="1">
      <c r="B505" s="1399"/>
      <c r="C505" s="1400"/>
      <c r="D505" s="1400"/>
      <c r="E505" s="1400"/>
      <c r="F505" s="1400"/>
      <c r="G505" s="1400"/>
      <c r="H505" s="1401"/>
      <c r="I505" t="s">
        <v>411</v>
      </c>
      <c r="AC505" s="1389">
        <v>1</v>
      </c>
      <c r="AD505" s="1390"/>
      <c r="AE505" s="1390"/>
      <c r="AF505" s="1390"/>
      <c r="AG505" s="13" t="s">
        <v>403</v>
      </c>
      <c r="AH505" s="1427">
        <v>2024</v>
      </c>
      <c r="AI505" s="1427"/>
      <c r="AJ505" s="1427"/>
      <c r="AK505" s="1428"/>
      <c r="AZ505" s="3"/>
      <c r="BA505" s="3"/>
      <c r="BB505" s="3"/>
      <c r="BC505" s="3"/>
      <c r="BD505" s="3"/>
      <c r="BE505" s="3"/>
      <c r="BF505" s="3"/>
      <c r="BG505" s="3"/>
      <c r="BH505" s="3"/>
      <c r="BI505" s="3"/>
      <c r="BJ505" s="3"/>
      <c r="BK505" s="3"/>
      <c r="BL505" s="3"/>
      <c r="BM505" s="3"/>
      <c r="BN505" s="3"/>
    </row>
    <row r="506" spans="1:66" ht="12.9" customHeight="1">
      <c r="B506" s="1399"/>
      <c r="C506" s="1400"/>
      <c r="D506" s="1400"/>
      <c r="E506" s="1400"/>
      <c r="F506" s="1400"/>
      <c r="G506" s="1400"/>
      <c r="H506" s="1401"/>
      <c r="I506" t="s">
        <v>412</v>
      </c>
      <c r="AC506" s="1389">
        <v>1</v>
      </c>
      <c r="AD506" s="1390"/>
      <c r="AE506" s="1390"/>
      <c r="AF506" s="1390"/>
      <c r="AG506" s="13" t="s">
        <v>403</v>
      </c>
      <c r="AH506" s="1427">
        <v>2026</v>
      </c>
      <c r="AI506" s="1427"/>
      <c r="AJ506" s="1427"/>
      <c r="AK506" s="1428"/>
      <c r="AZ506" s="3"/>
      <c r="BA506" s="3"/>
      <c r="BB506" s="3"/>
      <c r="BC506" s="3"/>
      <c r="BD506" s="3"/>
      <c r="BE506" s="3"/>
      <c r="BF506" s="3"/>
      <c r="BG506" s="3"/>
      <c r="BH506" s="3"/>
      <c r="BI506" s="3"/>
      <c r="BJ506" s="3"/>
      <c r="BK506" s="3"/>
      <c r="BL506" s="3"/>
      <c r="BM506" s="3"/>
      <c r="BN506" s="3"/>
    </row>
    <row r="507" spans="1:66" ht="12.9" customHeight="1">
      <c r="B507" s="1399"/>
      <c r="C507" s="1400"/>
      <c r="D507" s="1400"/>
      <c r="E507" s="1400"/>
      <c r="F507" s="1400"/>
      <c r="G507" s="1400"/>
      <c r="H507" s="1401"/>
      <c r="I507" s="3" t="s">
        <v>413</v>
      </c>
      <c r="AC507" s="1355">
        <v>1</v>
      </c>
      <c r="AD507" s="1356"/>
      <c r="AE507" s="1356"/>
      <c r="AF507" s="1356"/>
      <c r="AG507" s="13" t="s">
        <v>403</v>
      </c>
      <c r="AH507" s="1427">
        <v>2026</v>
      </c>
      <c r="AI507" s="1427"/>
      <c r="AJ507" s="1427"/>
      <c r="AK507" s="1428"/>
      <c r="AZ507" s="3"/>
      <c r="BA507" s="3"/>
      <c r="BB507" s="3"/>
      <c r="BC507" s="3"/>
      <c r="BD507" s="3"/>
      <c r="BE507" s="3"/>
      <c r="BF507" s="3"/>
      <c r="BG507" s="3"/>
      <c r="BH507" s="3"/>
      <c r="BI507" s="3"/>
      <c r="BJ507" s="3"/>
      <c r="BK507" s="3"/>
      <c r="BL507" s="3"/>
      <c r="BM507" s="3"/>
      <c r="BN507" s="3"/>
    </row>
    <row r="508" spans="1:66" ht="12.9"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1676</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87"/>
      <c r="AI512" s="1587"/>
      <c r="AJ512" s="1587"/>
      <c r="AK512" s="1588"/>
      <c r="AZ512" s="3"/>
      <c r="BA512" s="3"/>
      <c r="BB512" s="3"/>
      <c r="BC512" s="3"/>
      <c r="BD512" s="3"/>
      <c r="BE512" s="3"/>
      <c r="BF512" s="3"/>
      <c r="BG512" s="3"/>
      <c r="BH512" s="3"/>
      <c r="BI512" s="3"/>
      <c r="BJ512" s="3"/>
      <c r="BK512" s="3"/>
      <c r="BL512" s="3"/>
      <c r="BM512" s="3"/>
      <c r="BN512" s="3" t="s">
        <v>1185</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4"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4</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2109</v>
      </c>
    </row>
    <row r="517" spans="2:66" ht="12.9"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4</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v>
      </c>
      <c r="AD519" s="1390"/>
      <c r="AE519" s="1390"/>
      <c r="AF519" s="1390"/>
      <c r="AG519" s="38" t="s">
        <v>403</v>
      </c>
      <c r="AH519" s="1427">
        <v>2026</v>
      </c>
      <c r="AI519" s="1427"/>
      <c r="AJ519" s="1427"/>
      <c r="AK519" s="1428"/>
      <c r="BB519" s="3"/>
      <c r="BC519" s="3"/>
      <c r="BD519" s="3"/>
      <c r="BE519" s="3"/>
      <c r="BF519" s="3"/>
      <c r="BG519" s="3"/>
      <c r="BH519" s="3"/>
      <c r="BI519" s="3"/>
      <c r="BJ519" s="3"/>
      <c r="BK519" s="3"/>
      <c r="BL519" s="3"/>
      <c r="BM519" s="3"/>
      <c r="BN519" s="3" t="s">
        <v>2112</v>
      </c>
    </row>
    <row r="520" spans="2:66" ht="12.9" customHeight="1">
      <c r="B520" s="1396" t="s">
        <v>419</v>
      </c>
      <c r="C520" s="1397"/>
      <c r="D520" s="1397"/>
      <c r="E520" s="1397"/>
      <c r="F520" s="1397"/>
      <c r="G520" s="1397"/>
      <c r="H520" s="1398"/>
      <c r="I520" s="41" t="s">
        <v>420</v>
      </c>
      <c r="J520" s="42"/>
      <c r="K520" s="42"/>
      <c r="L520" s="42"/>
      <c r="M520" s="42"/>
      <c r="N520" s="42"/>
      <c r="O520" s="1433" t="s">
        <v>2625</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t="s">
        <v>250</v>
      </c>
      <c r="AI520" s="1427"/>
      <c r="AJ520" s="1427"/>
      <c r="AK520" s="1428"/>
      <c r="AZ520" s="3"/>
      <c r="BB520" s="3"/>
      <c r="BC520" s="3"/>
      <c r="BD520" s="3"/>
      <c r="BE520" s="3"/>
      <c r="BF520" s="3"/>
      <c r="BG520" s="3"/>
      <c r="BH520" s="3"/>
      <c r="BI520" s="3"/>
      <c r="BJ520" s="3"/>
      <c r="BK520" s="3"/>
      <c r="BL520" s="3"/>
      <c r="BM520" s="3"/>
      <c r="BN520" s="3" t="s">
        <v>2113</v>
      </c>
    </row>
    <row r="521" spans="2:66" ht="12.9" customHeight="1">
      <c r="B521" s="1399"/>
      <c r="C521" s="1400"/>
      <c r="D521" s="1400"/>
      <c r="E521" s="1400"/>
      <c r="F521" s="1400"/>
      <c r="G521" s="1400"/>
      <c r="H521" s="1401"/>
      <c r="I521" s="114" t="s">
        <v>421</v>
      </c>
      <c r="AB521" s="65"/>
      <c r="AC521" s="1389">
        <v>6</v>
      </c>
      <c r="AD521" s="1390"/>
      <c r="AE521" s="1390"/>
      <c r="AF521" s="1390"/>
      <c r="AG521" s="13" t="s">
        <v>403</v>
      </c>
      <c r="AH521" s="1427">
        <v>2022</v>
      </c>
      <c r="AI521" s="1427"/>
      <c r="AJ521" s="1427"/>
      <c r="AK521" s="1428"/>
      <c r="AZ521" s="3"/>
      <c r="BB521" s="3"/>
      <c r="BC521" s="3"/>
      <c r="BD521" s="3"/>
      <c r="BE521" s="3"/>
      <c r="BF521" s="3"/>
      <c r="BG521" s="3"/>
      <c r="BH521" s="3"/>
      <c r="BI521" s="3"/>
      <c r="BJ521" s="3"/>
      <c r="BK521" s="3"/>
      <c r="BL521" s="3"/>
      <c r="BM521" s="3"/>
      <c r="BN521" s="3" t="s">
        <v>2114</v>
      </c>
    </row>
    <row r="522" spans="2:66" ht="12.9"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12</v>
      </c>
      <c r="AD522" s="1390"/>
      <c r="AE522" s="1390"/>
      <c r="AF522" s="1390"/>
      <c r="AG522" s="38" t="s">
        <v>403</v>
      </c>
      <c r="AH522" s="1427">
        <v>2022</v>
      </c>
      <c r="AI522" s="1427"/>
      <c r="AJ522" s="1427"/>
      <c r="AK522" s="1428"/>
      <c r="AZ522" s="3"/>
      <c r="BA522" s="3"/>
      <c r="BB522" s="3"/>
      <c r="BC522" s="3"/>
      <c r="BD522" s="3"/>
      <c r="BE522" s="3"/>
      <c r="BF522" s="3"/>
      <c r="BG522" s="3"/>
      <c r="BH522" s="3"/>
      <c r="BI522" s="3"/>
      <c r="BJ522" s="3"/>
      <c r="BK522" s="3"/>
      <c r="BL522" s="3"/>
      <c r="BM522" s="3"/>
      <c r="BN522" s="3" t="s">
        <v>2115</v>
      </c>
    </row>
    <row r="523" spans="2:66" ht="12.9"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2117</v>
      </c>
    </row>
    <row r="525" spans="2:66" ht="12.9"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2118</v>
      </c>
    </row>
    <row r="526" spans="2:66" ht="12.9"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 customHeight="1">
      <c r="B539" s="1399"/>
      <c r="C539" s="1400"/>
      <c r="D539" s="1400"/>
      <c r="E539" s="1400"/>
      <c r="F539" s="1400"/>
      <c r="G539" s="1400"/>
      <c r="H539" s="1401"/>
      <c r="I539" t="s">
        <v>564</v>
      </c>
      <c r="AC539" s="1389">
        <v>1</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 customHeight="1">
      <c r="B540" s="1399"/>
      <c r="C540" s="1400"/>
      <c r="D540" s="1400"/>
      <c r="E540" s="1400"/>
      <c r="F540" s="1400"/>
      <c r="G540" s="1400"/>
      <c r="H540" s="1401"/>
      <c r="I540" t="s">
        <v>565</v>
      </c>
      <c r="AC540" s="1389">
        <v>11</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 customHeight="1">
      <c r="B541" s="1399"/>
      <c r="C541" s="1400"/>
      <c r="D541" s="1400"/>
      <c r="E541" s="1400"/>
      <c r="F541" s="1400"/>
      <c r="G541" s="1400"/>
      <c r="H541" s="1401"/>
      <c r="I541" t="s">
        <v>566</v>
      </c>
      <c r="AC541" s="1389">
        <v>11</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12</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453</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2102</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No</v>
      </c>
    </row>
    <row r="552" spans="1:61" ht="12.9"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 customHeight="1">
      <c r="B554" s="51" t="s">
        <v>112</v>
      </c>
      <c r="C554" s="1439" t="s">
        <v>2622</v>
      </c>
      <c r="D554" s="1439"/>
      <c r="E554" s="1439"/>
      <c r="F554" s="1439"/>
      <c r="G554" s="1439"/>
      <c r="H554" s="1439"/>
      <c r="I554" s="1439"/>
      <c r="J554" s="1439"/>
      <c r="K554" s="1439"/>
      <c r="L554" s="1439"/>
      <c r="M554" s="1439" t="s">
        <v>2121</v>
      </c>
      <c r="N554" s="1439"/>
      <c r="O554" s="1439"/>
      <c r="P554" s="1439"/>
      <c r="Q554" s="1425"/>
      <c r="R554" s="1425"/>
      <c r="S554" s="1426"/>
      <c r="T554" s="1424">
        <v>32</v>
      </c>
      <c r="U554" s="1425"/>
      <c r="V554" s="1426"/>
      <c r="W554" s="1421">
        <v>6.2199999999999998E-2</v>
      </c>
      <c r="X554" s="1422"/>
      <c r="Y554" s="1423"/>
      <c r="Z554" s="1430" t="s">
        <v>2727</v>
      </c>
      <c r="AA554" s="1430"/>
      <c r="AB554" s="1430"/>
      <c r="AC554" s="1430"/>
      <c r="AD554" s="1430"/>
      <c r="AE554" s="1412">
        <v>1</v>
      </c>
      <c r="AF554" s="1413"/>
      <c r="AG554" s="1413"/>
      <c r="AH554" s="1414"/>
      <c r="AI554" s="1436"/>
      <c r="AJ554" s="1437"/>
      <c r="AK554" s="1437"/>
      <c r="AL554" s="1438"/>
      <c r="AM554" s="1465">
        <v>22655819</v>
      </c>
      <c r="AN554" s="1466"/>
      <c r="AO554" s="1466"/>
      <c r="AP554" s="1466"/>
      <c r="AQ554" s="1466"/>
      <c r="AR554" s="1466"/>
      <c r="AS554" s="1467"/>
      <c r="AT554" s="1148"/>
      <c r="AU554" s="1147"/>
      <c r="BB554" s="3"/>
      <c r="BC554" s="3"/>
      <c r="BD554" s="3"/>
      <c r="BE554" s="3"/>
      <c r="BF554" s="3"/>
      <c r="BG554" s="3"/>
      <c r="BH554" s="3"/>
      <c r="BI554" s="3"/>
    </row>
    <row r="555" spans="1:61" ht="12.9" customHeight="1">
      <c r="B555" s="52" t="s">
        <v>113</v>
      </c>
      <c r="C555" s="1440" t="s">
        <v>2621</v>
      </c>
      <c r="D555" s="1440"/>
      <c r="E555" s="1440"/>
      <c r="F555" s="1440"/>
      <c r="G555" s="1440"/>
      <c r="H555" s="1440"/>
      <c r="I555" s="1440"/>
      <c r="J555" s="1440"/>
      <c r="K555" s="1440"/>
      <c r="L555" s="1440"/>
      <c r="M555" s="1439" t="s">
        <v>1185</v>
      </c>
      <c r="N555" s="1439"/>
      <c r="O555" s="1439"/>
      <c r="P555" s="1439"/>
      <c r="Q555" s="1424"/>
      <c r="R555" s="1425"/>
      <c r="S555" s="1426"/>
      <c r="T555" s="1424"/>
      <c r="U555" s="1425"/>
      <c r="V555" s="1426"/>
      <c r="W555" s="1421"/>
      <c r="X555" s="1422"/>
      <c r="Y555" s="1423"/>
      <c r="Z555" s="1430" t="s">
        <v>592</v>
      </c>
      <c r="AA555" s="1430"/>
      <c r="AB555" s="1430"/>
      <c r="AC555" s="1430"/>
      <c r="AD555" s="1430"/>
      <c r="AE555" s="1412"/>
      <c r="AF555" s="1413"/>
      <c r="AG555" s="1413"/>
      <c r="AH555" s="1414"/>
      <c r="AI555" s="1436"/>
      <c r="AJ555" s="1437"/>
      <c r="AK555" s="1437"/>
      <c r="AL555" s="1438"/>
      <c r="AM555" s="1465">
        <v>4016374</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 customHeight="1">
      <c r="B556" s="52" t="s">
        <v>119</v>
      </c>
      <c r="C556" s="1440" t="s">
        <v>2623</v>
      </c>
      <c r="D556" s="1440"/>
      <c r="E556" s="1440"/>
      <c r="F556" s="1440"/>
      <c r="G556" s="1440"/>
      <c r="H556" s="1440"/>
      <c r="I556" s="1440"/>
      <c r="J556" s="1440"/>
      <c r="K556" s="1440"/>
      <c r="L556" s="1440"/>
      <c r="M556" s="1439" t="s">
        <v>1185</v>
      </c>
      <c r="N556" s="1439"/>
      <c r="O556" s="1439"/>
      <c r="P556" s="1439"/>
      <c r="Q556" s="1424"/>
      <c r="R556" s="1425"/>
      <c r="S556" s="1426"/>
      <c r="T556" s="1424">
        <v>32</v>
      </c>
      <c r="U556" s="1425"/>
      <c r="V556" s="1426"/>
      <c r="W556" s="1421">
        <v>6.4699999999999994E-2</v>
      </c>
      <c r="X556" s="1422"/>
      <c r="Y556" s="1423"/>
      <c r="Z556" s="1430" t="s">
        <v>2701</v>
      </c>
      <c r="AA556" s="1430"/>
      <c r="AB556" s="1430"/>
      <c r="AC556" s="1430"/>
      <c r="AD556" s="1430"/>
      <c r="AE556" s="1412">
        <v>2</v>
      </c>
      <c r="AF556" s="1413"/>
      <c r="AG556" s="1413"/>
      <c r="AH556" s="1414"/>
      <c r="AI556" s="1436"/>
      <c r="AJ556" s="1437"/>
      <c r="AK556" s="1437"/>
      <c r="AL556" s="1438"/>
      <c r="AM556" s="1465">
        <f>33299256-AM554</f>
        <v>10643437</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 customHeight="1">
      <c r="B557" s="52" t="s">
        <v>582</v>
      </c>
      <c r="C557" s="1440" t="s">
        <v>2708</v>
      </c>
      <c r="D557" s="1440"/>
      <c r="E557" s="1440"/>
      <c r="F557" s="1440"/>
      <c r="G557" s="1440"/>
      <c r="H557" s="1440"/>
      <c r="I557" s="1440"/>
      <c r="J557" s="1440"/>
      <c r="K557" s="1440"/>
      <c r="L557" s="1440"/>
      <c r="M557" s="1439" t="s">
        <v>1185</v>
      </c>
      <c r="N557" s="1439"/>
      <c r="O557" s="1439"/>
      <c r="P557" s="1439"/>
      <c r="Q557" s="1424"/>
      <c r="R557" s="1425"/>
      <c r="S557" s="1426"/>
      <c r="T557" s="1424"/>
      <c r="U557" s="1425"/>
      <c r="V557" s="1426"/>
      <c r="W557" s="1421"/>
      <c r="X557" s="1422"/>
      <c r="Y557" s="1423"/>
      <c r="Z557" s="1430" t="s">
        <v>1185</v>
      </c>
      <c r="AA557" s="1430"/>
      <c r="AB557" s="1430"/>
      <c r="AC557" s="1430"/>
      <c r="AD557" s="1430"/>
      <c r="AE557" s="1412"/>
      <c r="AF557" s="1413"/>
      <c r="AG557" s="1413"/>
      <c r="AH557" s="1414"/>
      <c r="AI557" s="1436"/>
      <c r="AJ557" s="1437"/>
      <c r="AK557" s="1437"/>
      <c r="AL557" s="1438"/>
      <c r="AM557" s="1465">
        <v>960194</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 customHeight="1">
      <c r="B558" s="52" t="s">
        <v>764</v>
      </c>
      <c r="C558" s="1440" t="s">
        <v>2625</v>
      </c>
      <c r="D558" s="1440"/>
      <c r="E558" s="1440"/>
      <c r="F558" s="1440"/>
      <c r="G558" s="1440"/>
      <c r="H558" s="1440"/>
      <c r="I558" s="1440"/>
      <c r="J558" s="1440"/>
      <c r="K558" s="1440"/>
      <c r="L558" s="1440"/>
      <c r="M558" s="1439" t="s">
        <v>2117</v>
      </c>
      <c r="N558" s="1439"/>
      <c r="O558" s="1439"/>
      <c r="P558" s="1439"/>
      <c r="Q558" s="1424"/>
      <c r="R558" s="1425"/>
      <c r="S558" s="1426"/>
      <c r="T558" s="1424">
        <v>32</v>
      </c>
      <c r="U558" s="1425"/>
      <c r="V558" s="1426"/>
      <c r="W558" s="1421">
        <v>0.03</v>
      </c>
      <c r="X558" s="1422"/>
      <c r="Y558" s="1423"/>
      <c r="Z558" s="1430" t="s">
        <v>2701</v>
      </c>
      <c r="AA558" s="1430"/>
      <c r="AB558" s="1430"/>
      <c r="AC558" s="1430"/>
      <c r="AD558" s="1430"/>
      <c r="AE558" s="1412"/>
      <c r="AF558" s="1413"/>
      <c r="AG558" s="1413"/>
      <c r="AH558" s="1414"/>
      <c r="AI558" s="1436"/>
      <c r="AJ558" s="1437"/>
      <c r="AK558" s="1437"/>
      <c r="AL558" s="1438"/>
      <c r="AM558" s="1465">
        <v>2500000</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No</v>
      </c>
    </row>
    <row r="559" spans="1:61" ht="12.9" customHeight="1">
      <c r="B559" s="52" t="s">
        <v>585</v>
      </c>
      <c r="C559" s="1440" t="s">
        <v>2323</v>
      </c>
      <c r="D559" s="1440"/>
      <c r="E559" s="1440"/>
      <c r="F559" s="1440"/>
      <c r="G559" s="1440"/>
      <c r="H559" s="1440"/>
      <c r="I559" s="1440"/>
      <c r="J559" s="1440"/>
      <c r="K559" s="1440"/>
      <c r="L559" s="1440"/>
      <c r="M559" s="1439" t="s">
        <v>1185</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v>4093419</v>
      </c>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 customHeight="1">
      <c r="B560" s="52" t="s">
        <v>456</v>
      </c>
      <c r="C560" s="1440" t="s">
        <v>250</v>
      </c>
      <c r="D560" s="1440"/>
      <c r="E560" s="1440"/>
      <c r="F560" s="1440"/>
      <c r="G560" s="1440"/>
      <c r="H560" s="1440"/>
      <c r="I560" s="1440"/>
      <c r="J560" s="1440"/>
      <c r="K560" s="1440"/>
      <c r="L560" s="1440"/>
      <c r="M560" s="1439" t="s">
        <v>1185</v>
      </c>
      <c r="N560" s="1439"/>
      <c r="O560" s="1439"/>
      <c r="P560" s="1439"/>
      <c r="Q560" s="1424"/>
      <c r="R560" s="1425"/>
      <c r="S560" s="1426"/>
      <c r="T560" s="1424">
        <v>0</v>
      </c>
      <c r="U560" s="1425"/>
      <c r="V560" s="1426"/>
      <c r="W560" s="1421">
        <v>0</v>
      </c>
      <c r="X560" s="1422"/>
      <c r="Y560" s="1423"/>
      <c r="Z560" s="1430" t="s">
        <v>1185</v>
      </c>
      <c r="AA560" s="1430"/>
      <c r="AB560" s="1430"/>
      <c r="AC560" s="1430"/>
      <c r="AD560" s="1430"/>
      <c r="AE560" s="1412">
        <v>0</v>
      </c>
      <c r="AF560" s="1413"/>
      <c r="AG560" s="1413"/>
      <c r="AH560" s="1414"/>
      <c r="AI560" s="1436"/>
      <c r="AJ560" s="1437"/>
      <c r="AK560" s="1437"/>
      <c r="AL560" s="1438"/>
      <c r="AM560" s="1465">
        <v>0</v>
      </c>
      <c r="AN560" s="1466"/>
      <c r="AO560" s="1466"/>
      <c r="AP560" s="1466"/>
      <c r="AQ560" s="1466"/>
      <c r="AR560" s="1466"/>
      <c r="AS560" s="1467"/>
      <c r="AT560" s="1148" t="str">
        <f t="shared" si="0"/>
        <v/>
      </c>
      <c r="AU560" s="1147"/>
      <c r="BB560" s="3"/>
      <c r="BC560" s="3"/>
      <c r="BD560" s="3"/>
      <c r="BE560" s="3"/>
      <c r="BF560" s="3"/>
      <c r="BG560" s="3"/>
      <c r="BH560" s="3"/>
      <c r="BI560" s="3"/>
    </row>
    <row r="561" spans="1:61" ht="12.9"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44869243</v>
      </c>
      <c r="AN566" s="1473"/>
      <c r="AO566" s="1473"/>
      <c r="AP566" s="1473"/>
      <c r="AQ566" s="1473"/>
      <c r="AR566" s="1473"/>
      <c r="AS566" s="1474"/>
      <c r="BB566" s="3"/>
      <c r="BC566" s="3"/>
      <c r="BD566" s="3"/>
      <c r="BE566" s="3"/>
      <c r="BF566" s="3"/>
      <c r="BG566" s="3"/>
      <c r="BH566" s="3" t="s">
        <v>456</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 customHeight="1">
      <c r="A568" s="55" t="s">
        <v>112</v>
      </c>
      <c r="B568" t="s">
        <v>464</v>
      </c>
      <c r="G568" s="1483" t="str">
        <f>C554</f>
        <v>Banc of CA Tax Exempt</v>
      </c>
      <c r="H568" s="1483"/>
      <c r="I568" s="1483"/>
      <c r="J568" s="1483"/>
      <c r="K568" s="1483"/>
      <c r="L568" s="1483"/>
      <c r="M568" s="1483"/>
      <c r="N568" s="1483"/>
      <c r="O568" s="1483"/>
      <c r="P568" s="1483"/>
      <c r="Q568" s="1483"/>
      <c r="R568" s="1483"/>
      <c r="S568" s="8"/>
      <c r="T568" s="55" t="s">
        <v>113</v>
      </c>
      <c r="U568" t="s">
        <v>464</v>
      </c>
      <c r="Z568" s="1483" t="str">
        <f>C555</f>
        <v>Boston Financial</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 customHeight="1">
      <c r="A569" s="22"/>
      <c r="B569" t="s">
        <v>85</v>
      </c>
      <c r="G569" s="1407" t="s">
        <v>2704</v>
      </c>
      <c r="H569" s="1407"/>
      <c r="I569" s="1407"/>
      <c r="J569" s="1407"/>
      <c r="K569" s="1407"/>
      <c r="L569" s="1407"/>
      <c r="M569" s="1407"/>
      <c r="N569" s="1407"/>
      <c r="O569" s="1407"/>
      <c r="P569" s="1407"/>
      <c r="Q569" s="1407"/>
      <c r="R569" s="1407"/>
      <c r="S569" s="8"/>
      <c r="T569" s="22"/>
      <c r="U569" t="s">
        <v>85</v>
      </c>
      <c r="Z569" s="1407" t="s">
        <v>2702</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 customHeight="1">
      <c r="A570" s="22"/>
      <c r="B570" t="s">
        <v>581</v>
      </c>
      <c r="G570" s="1407" t="s">
        <v>2652</v>
      </c>
      <c r="H570" s="1407"/>
      <c r="I570" s="1407"/>
      <c r="J570" s="1407"/>
      <c r="K570" s="1407"/>
      <c r="L570" s="1407"/>
      <c r="M570" s="1407"/>
      <c r="N570" s="1407"/>
      <c r="O570" s="1407"/>
      <c r="P570" s="1407"/>
      <c r="Q570" s="1407"/>
      <c r="R570" s="1407"/>
      <c r="T570" s="22"/>
      <c r="U570" t="s">
        <v>581</v>
      </c>
      <c r="Z570" s="1371" t="s">
        <v>2673</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 customHeight="1">
      <c r="A571" s="22"/>
      <c r="B571" t="s">
        <v>17</v>
      </c>
      <c r="G571" s="1407" t="s">
        <v>2705</v>
      </c>
      <c r="H571" s="1407"/>
      <c r="I571" s="1407"/>
      <c r="J571" s="1407"/>
      <c r="K571" s="1407"/>
      <c r="L571" s="1407"/>
      <c r="M571" s="1407"/>
      <c r="N571" s="1407"/>
      <c r="O571" s="1407"/>
      <c r="P571" s="1407"/>
      <c r="Q571" s="1407"/>
      <c r="R571" s="1407"/>
      <c r="S571" s="8"/>
      <c r="T571" s="22"/>
      <c r="U571" t="s">
        <v>17</v>
      </c>
      <c r="Z571" s="1371" t="s">
        <v>2674</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 customHeight="1">
      <c r="A572" s="22"/>
      <c r="B572" t="s">
        <v>316</v>
      </c>
      <c r="G572" s="1487" t="s">
        <v>2706</v>
      </c>
      <c r="H572" s="1487"/>
      <c r="I572" s="1487"/>
      <c r="J572" s="1487"/>
      <c r="K572" s="1487"/>
      <c r="L572" s="1487"/>
      <c r="O572" s="33" t="s">
        <v>206</v>
      </c>
      <c r="P572" s="1471"/>
      <c r="Q572" s="1471"/>
      <c r="R572" s="1471"/>
      <c r="S572" s="10"/>
      <c r="T572" s="22"/>
      <c r="U572" t="s">
        <v>316</v>
      </c>
      <c r="Z572" s="1487" t="s">
        <v>2675</v>
      </c>
      <c r="AA572" s="1487"/>
      <c r="AB572" s="1487"/>
      <c r="AC572" s="1487"/>
      <c r="AD572" s="1487"/>
      <c r="AE572" s="1487"/>
      <c r="AH572" s="33" t="s">
        <v>206</v>
      </c>
      <c r="AI572" s="1471"/>
      <c r="AJ572" s="1471"/>
      <c r="AK572" s="1471"/>
      <c r="BB572" s="3"/>
      <c r="BC572" s="3"/>
      <c r="BD572" s="3"/>
      <c r="BE572" s="3"/>
      <c r="BF572" s="3"/>
      <c r="BG572" s="3"/>
      <c r="BH572" s="3"/>
      <c r="BI572" s="3"/>
    </row>
    <row r="573" spans="1:61" ht="12.9" customHeight="1">
      <c r="A573" s="22"/>
      <c r="B573" t="s">
        <v>18</v>
      </c>
      <c r="H573" s="1407"/>
      <c r="I573" s="1407"/>
      <c r="J573" s="1407"/>
      <c r="K573" s="1407"/>
      <c r="L573" s="1407"/>
      <c r="M573" s="1407"/>
      <c r="N573" s="1407"/>
      <c r="O573" s="1407"/>
      <c r="P573" s="1407"/>
      <c r="Q573" s="1407"/>
      <c r="R573" s="1407"/>
      <c r="S573" s="8"/>
      <c r="T573" s="22"/>
      <c r="U573" t="s">
        <v>18</v>
      </c>
      <c r="AA573" s="1407" t="s">
        <v>2703</v>
      </c>
      <c r="AB573" s="1407"/>
      <c r="AC573" s="1407"/>
      <c r="AD573" s="1407"/>
      <c r="AE573" s="1407"/>
      <c r="AF573" s="1407"/>
      <c r="AG573" s="1407"/>
      <c r="AH573" s="1407"/>
      <c r="AI573" s="1407"/>
      <c r="AJ573" s="1407"/>
      <c r="AK573" s="1407"/>
      <c r="BB573" s="3"/>
      <c r="BC573" s="3"/>
      <c r="BD573" s="3"/>
      <c r="BE573" s="3"/>
      <c r="BF573" s="3"/>
      <c r="BG573" s="3"/>
      <c r="BH573" s="3"/>
      <c r="BI573" s="3"/>
    </row>
    <row r="574" spans="1:61" ht="12.9" customHeight="1">
      <c r="A574" s="22"/>
      <c r="B574" s="320" t="s">
        <v>1186</v>
      </c>
      <c r="H574" s="8"/>
      <c r="I574" s="8"/>
      <c r="J574" s="8"/>
      <c r="K574" s="8"/>
      <c r="L574" s="8"/>
      <c r="M574" s="1599"/>
      <c r="N574" s="1599"/>
      <c r="O574" s="1599"/>
      <c r="P574" s="1599"/>
      <c r="Q574" s="1599"/>
      <c r="R574" s="1599"/>
      <c r="S574" s="8"/>
      <c r="T574" s="22"/>
      <c r="U574" s="320" t="s">
        <v>1186</v>
      </c>
      <c r="AA574" s="8"/>
      <c r="AB574" s="8"/>
      <c r="AC574" s="8"/>
      <c r="AD574" s="8"/>
      <c r="AE574" s="8"/>
      <c r="AF574" s="1599"/>
      <c r="AG574" s="1599"/>
      <c r="AH574" s="1599"/>
      <c r="AI574" s="1599"/>
      <c r="AJ574" s="1599"/>
      <c r="AK574" s="1599"/>
      <c r="BB574" s="3"/>
      <c r="BC574" s="3"/>
      <c r="BD574" s="3"/>
      <c r="BE574" s="3"/>
      <c r="BF574" s="3"/>
      <c r="BG574" s="3"/>
      <c r="BH574" s="3"/>
      <c r="BI574" s="3"/>
    </row>
    <row r="575" spans="1:61" ht="12.9" customHeight="1">
      <c r="A575" s="22"/>
      <c r="B575" t="s">
        <v>20</v>
      </c>
      <c r="N575" s="1415" t="s">
        <v>546</v>
      </c>
      <c r="O575" s="1415"/>
      <c r="T575" s="22"/>
      <c r="U575" t="s">
        <v>20</v>
      </c>
      <c r="AG575" s="1415" t="s">
        <v>546</v>
      </c>
      <c r="AH575" s="1415"/>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464</v>
      </c>
      <c r="G577" s="1483" t="str">
        <f>C556</f>
        <v>Banc of CA Taxable</v>
      </c>
      <c r="H577" s="1483"/>
      <c r="I577" s="1483"/>
      <c r="J577" s="1483"/>
      <c r="K577" s="1483"/>
      <c r="L577" s="1483"/>
      <c r="M577" s="1483"/>
      <c r="N577" s="1483"/>
      <c r="O577" s="1483"/>
      <c r="P577" s="1483"/>
      <c r="Q577" s="1483"/>
      <c r="R577" s="1483"/>
      <c r="T577" s="55" t="s">
        <v>582</v>
      </c>
      <c r="U577" t="s">
        <v>464</v>
      </c>
      <c r="Z577" s="1483" t="str">
        <f>C557</f>
        <v>Costs Deferred to Perm</v>
      </c>
      <c r="AA577" s="1483"/>
      <c r="AB577" s="1483"/>
      <c r="AC577" s="1483"/>
      <c r="AD577" s="1483"/>
      <c r="AE577" s="1483"/>
      <c r="AF577" s="1483"/>
      <c r="AG577" s="1483"/>
      <c r="AH577" s="1483"/>
      <c r="AI577" s="1483"/>
      <c r="AJ577" s="1483"/>
      <c r="AK577" s="1483"/>
      <c r="BB577" s="3"/>
      <c r="BC577" s="3"/>
    </row>
    <row r="578" spans="1:55" ht="12.9" customHeight="1">
      <c r="A578" s="22"/>
      <c r="B578" t="s">
        <v>85</v>
      </c>
      <c r="G578" s="1407" t="s">
        <v>2704</v>
      </c>
      <c r="H578" s="1407"/>
      <c r="I578" s="1407"/>
      <c r="J578" s="1407"/>
      <c r="K578" s="1407"/>
      <c r="L578" s="1407"/>
      <c r="M578" s="1407"/>
      <c r="N578" s="1407"/>
      <c r="O578" s="1407"/>
      <c r="P578" s="1407"/>
      <c r="Q578" s="1407"/>
      <c r="R578" s="1407"/>
      <c r="T578" s="22"/>
      <c r="U578" t="s">
        <v>85</v>
      </c>
      <c r="Z578" s="1407" t="s">
        <v>2638</v>
      </c>
      <c r="AA578" s="1407"/>
      <c r="AB578" s="1407"/>
      <c r="AC578" s="1407"/>
      <c r="AD578" s="1407"/>
      <c r="AE578" s="1407"/>
      <c r="AF578" s="1407"/>
      <c r="AG578" s="1407"/>
      <c r="AH578" s="1407"/>
      <c r="AI578" s="1407"/>
      <c r="AJ578" s="1407"/>
      <c r="AK578" s="1407"/>
      <c r="BB578" s="3"/>
      <c r="BC578" s="3"/>
    </row>
    <row r="579" spans="1:55" ht="12.9" customHeight="1">
      <c r="A579" s="22"/>
      <c r="B579" t="s">
        <v>581</v>
      </c>
      <c r="G579" s="1371" t="s">
        <v>2652</v>
      </c>
      <c r="H579" s="1371"/>
      <c r="I579" s="1371"/>
      <c r="J579" s="1371"/>
      <c r="K579" s="1371"/>
      <c r="L579" s="1371"/>
      <c r="M579" s="1371"/>
      <c r="N579" s="1371"/>
      <c r="O579" s="1371"/>
      <c r="P579" s="1371"/>
      <c r="Q579" s="1371"/>
      <c r="R579" s="1371"/>
      <c r="T579" s="22"/>
      <c r="U579" t="s">
        <v>581</v>
      </c>
      <c r="Z579" s="1371" t="s">
        <v>2652</v>
      </c>
      <c r="AA579" s="1371"/>
      <c r="AB579" s="1371"/>
      <c r="AC579" s="1371"/>
      <c r="AD579" s="1371"/>
      <c r="AE579" s="1371"/>
      <c r="AF579" s="1371"/>
      <c r="AG579" s="1371"/>
      <c r="AH579" s="1371"/>
      <c r="AI579" s="1371"/>
      <c r="AJ579" s="1371"/>
      <c r="AK579" s="1371"/>
      <c r="BB579" s="3"/>
      <c r="BC579" s="3"/>
    </row>
    <row r="580" spans="1:55" ht="12.9" customHeight="1">
      <c r="A580" s="22"/>
      <c r="B580" t="s">
        <v>17</v>
      </c>
      <c r="G580" s="1371" t="s">
        <v>2705</v>
      </c>
      <c r="H580" s="1371"/>
      <c r="I580" s="1371"/>
      <c r="J580" s="1371"/>
      <c r="K580" s="1371"/>
      <c r="L580" s="1371"/>
      <c r="M580" s="1371"/>
      <c r="N580" s="1371"/>
      <c r="O580" s="1371"/>
      <c r="P580" s="1371"/>
      <c r="Q580" s="1371"/>
      <c r="R580" s="1371"/>
      <c r="T580" s="22"/>
      <c r="U580" t="s">
        <v>17</v>
      </c>
      <c r="Z580" s="1371" t="s">
        <v>2640</v>
      </c>
      <c r="AA580" s="1371"/>
      <c r="AB580" s="1371"/>
      <c r="AC580" s="1371"/>
      <c r="AD580" s="1371"/>
      <c r="AE580" s="1371"/>
      <c r="AF580" s="1371"/>
      <c r="AG580" s="1371"/>
      <c r="AH580" s="1371"/>
      <c r="AI580" s="1371"/>
      <c r="AJ580" s="1371"/>
      <c r="AK580" s="1371"/>
      <c r="BB580" s="3"/>
      <c r="BC580" s="3"/>
    </row>
    <row r="581" spans="1:55" ht="12.9" customHeight="1">
      <c r="A581" s="22"/>
      <c r="B581" t="s">
        <v>316</v>
      </c>
      <c r="G581" s="1487" t="s">
        <v>2706</v>
      </c>
      <c r="H581" s="1487"/>
      <c r="I581" s="1487"/>
      <c r="J581" s="1487"/>
      <c r="K581" s="1487"/>
      <c r="L581" s="1487"/>
      <c r="O581" s="33" t="s">
        <v>206</v>
      </c>
      <c r="P581" s="1471"/>
      <c r="Q581" s="1471"/>
      <c r="R581" s="1471"/>
      <c r="T581" s="22"/>
      <c r="U581" t="s">
        <v>316</v>
      </c>
      <c r="Z581" s="1546" t="s">
        <v>2641</v>
      </c>
      <c r="AA581" s="1487"/>
      <c r="AB581" s="1487"/>
      <c r="AC581" s="1487"/>
      <c r="AD581" s="1487"/>
      <c r="AE581" s="1487"/>
      <c r="AH581" s="33" t="s">
        <v>206</v>
      </c>
      <c r="AI581" s="1471"/>
      <c r="AJ581" s="1471"/>
      <c r="AK581" s="1471"/>
      <c r="BB581" s="3"/>
      <c r="BC581" s="3"/>
    </row>
    <row r="582" spans="1:55" ht="12.9" customHeight="1">
      <c r="A582" s="22"/>
      <c r="B582" t="s">
        <v>18</v>
      </c>
      <c r="H582" s="1407" t="s">
        <v>2707</v>
      </c>
      <c r="I582" s="1407"/>
      <c r="J582" s="1407"/>
      <c r="K582" s="1407"/>
      <c r="L582" s="1407"/>
      <c r="M582" s="1407"/>
      <c r="N582" s="1407"/>
      <c r="O582" s="1407"/>
      <c r="P582" s="1407"/>
      <c r="Q582" s="1407"/>
      <c r="R582" s="1407"/>
      <c r="T582" s="22"/>
      <c r="U582" t="s">
        <v>18</v>
      </c>
      <c r="AA582" s="1407" t="s">
        <v>2709</v>
      </c>
      <c r="AB582" s="1407"/>
      <c r="AC582" s="1407"/>
      <c r="AD582" s="1407"/>
      <c r="AE582" s="1407"/>
      <c r="AF582" s="1407"/>
      <c r="AG582" s="1407"/>
      <c r="AH582" s="1407"/>
      <c r="AI582" s="1407"/>
      <c r="AJ582" s="1407"/>
      <c r="AK582" s="1407"/>
      <c r="BB582" s="3"/>
      <c r="BC582" s="3"/>
    </row>
    <row r="583" spans="1:55" ht="12.9" customHeight="1">
      <c r="A583" s="22"/>
      <c r="B583" t="s">
        <v>20</v>
      </c>
      <c r="N583" s="1415" t="s">
        <v>546</v>
      </c>
      <c r="O583" s="1415"/>
      <c r="T583" s="22"/>
      <c r="U583" t="s">
        <v>20</v>
      </c>
      <c r="AG583" s="1415" t="s">
        <v>546</v>
      </c>
      <c r="AH583" s="1415"/>
      <c r="BB583" s="3"/>
      <c r="BC583" s="3"/>
    </row>
    <row r="584" spans="1:55" ht="12.9" customHeight="1">
      <c r="A584" s="22"/>
      <c r="T584" s="22"/>
      <c r="BB584" s="3"/>
      <c r="BC584" s="3"/>
    </row>
    <row r="585" spans="1:55" ht="12.9" customHeight="1">
      <c r="A585" s="55" t="s">
        <v>764</v>
      </c>
      <c r="B585" t="s">
        <v>464</v>
      </c>
      <c r="G585" s="1483" t="str">
        <f>C558</f>
        <v>City Santa Cruz Loan</v>
      </c>
      <c r="H585" s="1483"/>
      <c r="I585" s="1483"/>
      <c r="J585" s="1483"/>
      <c r="K585" s="1483"/>
      <c r="L585" s="1483"/>
      <c r="M585" s="1483"/>
      <c r="N585" s="1483"/>
      <c r="O585" s="1483"/>
      <c r="P585" s="1483"/>
      <c r="Q585" s="1483"/>
      <c r="R585" s="1483"/>
      <c r="T585" s="55" t="s">
        <v>585</v>
      </c>
      <c r="U585" t="s">
        <v>464</v>
      </c>
      <c r="Z585" s="1483" t="str">
        <f>C559</f>
        <v>Deferred Developer Fee</v>
      </c>
      <c r="AA585" s="1483"/>
      <c r="AB585" s="1483"/>
      <c r="AC585" s="1483"/>
      <c r="AD585" s="1483"/>
      <c r="AE585" s="1483"/>
      <c r="AF585" s="1483"/>
      <c r="AG585" s="1483"/>
      <c r="AH585" s="1483"/>
      <c r="AI585" s="1483"/>
      <c r="AJ585" s="1483"/>
      <c r="AK585" s="1483"/>
      <c r="BB585" s="3"/>
      <c r="BC585" s="3"/>
    </row>
    <row r="586" spans="1:55" ht="12.9" customHeight="1">
      <c r="A586" s="22"/>
      <c r="B586" t="s">
        <v>85</v>
      </c>
      <c r="G586" s="1407" t="s">
        <v>2711</v>
      </c>
      <c r="H586" s="1407"/>
      <c r="I586" s="1407"/>
      <c r="J586" s="1407"/>
      <c r="K586" s="1407"/>
      <c r="L586" s="1407"/>
      <c r="M586" s="1407"/>
      <c r="N586" s="1407"/>
      <c r="O586" s="1407"/>
      <c r="P586" s="1407"/>
      <c r="Q586" s="1407"/>
      <c r="R586" s="1407"/>
      <c r="T586" s="22"/>
      <c r="U586" t="s">
        <v>85</v>
      </c>
      <c r="Z586" s="1407" t="s">
        <v>2638</v>
      </c>
      <c r="AA586" s="1407"/>
      <c r="AB586" s="1407"/>
      <c r="AC586" s="1407"/>
      <c r="AD586" s="1407"/>
      <c r="AE586" s="1407"/>
      <c r="AF586" s="1407"/>
      <c r="AG586" s="1407"/>
      <c r="AH586" s="1407"/>
      <c r="AI586" s="1407"/>
      <c r="AJ586" s="1407"/>
      <c r="AK586" s="1407"/>
      <c r="BB586" s="3"/>
      <c r="BC586" s="3"/>
    </row>
    <row r="587" spans="1:55" ht="12.9" customHeight="1">
      <c r="A587" s="22"/>
      <c r="B587" t="s">
        <v>581</v>
      </c>
      <c r="G587" s="1407" t="s">
        <v>2712</v>
      </c>
      <c r="H587" s="1407"/>
      <c r="I587" s="1407"/>
      <c r="J587" s="1407"/>
      <c r="K587" s="1407"/>
      <c r="L587" s="1407"/>
      <c r="M587" s="1407"/>
      <c r="N587" s="1407"/>
      <c r="O587" s="1407"/>
      <c r="P587" s="1407"/>
      <c r="Q587" s="1407"/>
      <c r="R587" s="1407"/>
      <c r="T587" s="22"/>
      <c r="U587" t="s">
        <v>581</v>
      </c>
      <c r="Z587" s="1371" t="s">
        <v>2652</v>
      </c>
      <c r="AA587" s="1371"/>
      <c r="AB587" s="1371"/>
      <c r="AC587" s="1371"/>
      <c r="AD587" s="1371"/>
      <c r="AE587" s="1371"/>
      <c r="AF587" s="1371"/>
      <c r="AG587" s="1371"/>
      <c r="AH587" s="1371"/>
      <c r="AI587" s="1371"/>
      <c r="AJ587" s="1371"/>
      <c r="AK587" s="1371"/>
      <c r="BB587" s="3"/>
      <c r="BC587" s="3"/>
    </row>
    <row r="588" spans="1:55" ht="12.9" customHeight="1">
      <c r="A588" s="22"/>
      <c r="B588" t="s">
        <v>17</v>
      </c>
      <c r="G588" s="1407" t="s">
        <v>2715</v>
      </c>
      <c r="H588" s="1407"/>
      <c r="I588" s="1407"/>
      <c r="J588" s="1407"/>
      <c r="K588" s="1407"/>
      <c r="L588" s="1407"/>
      <c r="M588" s="1407"/>
      <c r="N588" s="1407"/>
      <c r="O588" s="1407"/>
      <c r="P588" s="1407"/>
      <c r="Q588" s="1407"/>
      <c r="R588" s="1407"/>
      <c r="T588" s="22"/>
      <c r="U588" t="s">
        <v>17</v>
      </c>
      <c r="Z588" s="1371" t="s">
        <v>2640</v>
      </c>
      <c r="AA588" s="1371"/>
      <c r="AB588" s="1371"/>
      <c r="AC588" s="1371"/>
      <c r="AD588" s="1371"/>
      <c r="AE588" s="1371"/>
      <c r="AF588" s="1371"/>
      <c r="AG588" s="1371"/>
      <c r="AH588" s="1371"/>
      <c r="AI588" s="1371"/>
      <c r="AJ588" s="1371"/>
      <c r="AK588" s="1371"/>
    </row>
    <row r="589" spans="1:55" ht="12.9" customHeight="1">
      <c r="A589" s="22"/>
      <c r="B589" t="s">
        <v>316</v>
      </c>
      <c r="G589" s="1546" t="s">
        <v>2713</v>
      </c>
      <c r="H589" s="1487"/>
      <c r="I589" s="1487"/>
      <c r="J589" s="1487"/>
      <c r="K589" s="1487"/>
      <c r="L589" s="1487"/>
      <c r="O589" s="33" t="s">
        <v>206</v>
      </c>
      <c r="P589" s="1471"/>
      <c r="Q589" s="1471"/>
      <c r="R589" s="1471"/>
      <c r="T589" s="22"/>
      <c r="U589" t="s">
        <v>316</v>
      </c>
      <c r="Z589" s="1487" t="s">
        <v>2641</v>
      </c>
      <c r="AA589" s="1487"/>
      <c r="AB589" s="1487"/>
      <c r="AC589" s="1487"/>
      <c r="AD589" s="1487"/>
      <c r="AE589" s="1487"/>
      <c r="AH589" s="33" t="s">
        <v>206</v>
      </c>
      <c r="AI589" s="1471"/>
      <c r="AJ589" s="1471"/>
      <c r="AK589" s="1471"/>
      <c r="AZ589" s="3"/>
      <c r="BA589" s="3"/>
      <c r="BB589" s="3"/>
      <c r="BC589" s="3"/>
    </row>
    <row r="590" spans="1:55" ht="12.9" customHeight="1">
      <c r="A590" s="22"/>
      <c r="B590" t="s">
        <v>18</v>
      </c>
      <c r="H590" s="1407" t="s">
        <v>2714</v>
      </c>
      <c r="I590" s="1407"/>
      <c r="J590" s="1407"/>
      <c r="K590" s="1407"/>
      <c r="L590" s="1407"/>
      <c r="M590" s="1407"/>
      <c r="N590" s="1407"/>
      <c r="O590" s="1407"/>
      <c r="P590" s="1407"/>
      <c r="Q590" s="1407"/>
      <c r="R590" s="1407"/>
      <c r="T590" s="22"/>
      <c r="U590" t="s">
        <v>18</v>
      </c>
      <c r="AA590" s="1407" t="s">
        <v>2710</v>
      </c>
      <c r="AB590" s="1407"/>
      <c r="AC590" s="1407"/>
      <c r="AD590" s="1407"/>
      <c r="AE590" s="1407"/>
      <c r="AF590" s="1407"/>
      <c r="AG590" s="1407"/>
      <c r="AH590" s="1407"/>
      <c r="AI590" s="1407"/>
      <c r="AJ590" s="1407"/>
      <c r="AK590" s="1407"/>
      <c r="AZ590" s="3"/>
      <c r="BA590" s="3"/>
      <c r="BB590" s="3"/>
      <c r="BC590" s="3"/>
    </row>
    <row r="591" spans="1:55" ht="12.9" customHeight="1">
      <c r="A591" s="22"/>
      <c r="B591" t="s">
        <v>20</v>
      </c>
      <c r="N591" s="1415" t="s">
        <v>546</v>
      </c>
      <c r="O591" s="1415"/>
      <c r="T591" s="22"/>
      <c r="U591" t="s">
        <v>20</v>
      </c>
      <c r="AG591" s="1415" t="s">
        <v>546</v>
      </c>
      <c r="AH591" s="1415"/>
      <c r="AZ591" s="3"/>
      <c r="BA591" s="3"/>
      <c r="BB591" s="3"/>
      <c r="BC591" s="3"/>
    </row>
    <row r="592" spans="1:55" ht="12.9" customHeight="1">
      <c r="A592" s="22"/>
      <c r="T592" s="22"/>
      <c r="AZ592" s="3"/>
      <c r="BA592" s="3"/>
      <c r="BB592" s="3"/>
      <c r="BC592" s="3"/>
    </row>
    <row r="593" spans="1:55" ht="12.9" customHeight="1">
      <c r="A593" s="55" t="s">
        <v>456</v>
      </c>
      <c r="B593" t="s">
        <v>464</v>
      </c>
      <c r="G593" s="1483" t="str">
        <f>C560</f>
        <v xml:space="preserve"> </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 customHeight="1">
      <c r="A594" s="22"/>
      <c r="B594" t="s">
        <v>85</v>
      </c>
      <c r="C594"/>
      <c r="D594"/>
      <c r="E594"/>
      <c r="F594"/>
      <c r="G594" s="1407" t="s">
        <v>250</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 customHeight="1">
      <c r="A595" s="22"/>
      <c r="B595" t="s">
        <v>581</v>
      </c>
      <c r="C595"/>
      <c r="D595"/>
      <c r="E595"/>
      <c r="F595"/>
      <c r="G595" s="1407" t="s">
        <v>250</v>
      </c>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407" t="s">
        <v>250</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546" t="s">
        <v>250</v>
      </c>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407" t="s">
        <v>250</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 customHeight="1">
      <c r="A599" s="22"/>
      <c r="B599" t="s">
        <v>20</v>
      </c>
      <c r="N599" s="1415" t="s">
        <v>670</v>
      </c>
      <c r="O599" s="1415"/>
      <c r="T599" s="22"/>
      <c r="U599" t="s">
        <v>20</v>
      </c>
      <c r="AG599" s="1415" t="s">
        <v>670</v>
      </c>
      <c r="AH599" s="1415"/>
      <c r="BB599" s="3"/>
      <c r="BC599" s="3"/>
    </row>
    <row r="600" spans="1:55" ht="12.9" customHeight="1">
      <c r="A600" s="22"/>
      <c r="T600" s="22"/>
      <c r="BB600" s="3"/>
      <c r="BC600" s="3"/>
    </row>
    <row r="601" spans="1:55" ht="12.9"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 customHeight="1">
      <c r="B615" t="s">
        <v>20</v>
      </c>
      <c r="N615" s="1415" t="s">
        <v>670</v>
      </c>
      <c r="O615" s="1415"/>
      <c r="U615" t="s">
        <v>20</v>
      </c>
      <c r="AG615" s="1415" t="s">
        <v>670</v>
      </c>
      <c r="AH615" s="1415"/>
      <c r="AU615" s="899"/>
      <c r="AV615" s="899"/>
      <c r="AW615" s="899"/>
      <c r="AX615" s="899"/>
      <c r="AY615" s="899"/>
      <c r="AZ615" s="3"/>
      <c r="BA615" s="3"/>
      <c r="BB615" s="3"/>
      <c r="BC615" s="3"/>
    </row>
    <row r="616" spans="1:55" ht="12.9" customHeight="1">
      <c r="AZ616" s="3"/>
      <c r="BA616" s="3"/>
      <c r="BB616" s="3"/>
      <c r="BC616" s="3"/>
    </row>
    <row r="617" spans="1:55" ht="12.9"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2102</v>
      </c>
      <c r="AZ622" s="3"/>
      <c r="BA622" s="3"/>
      <c r="BB622" s="3"/>
      <c r="BC622" s="3"/>
    </row>
    <row r="623" spans="1:55" ht="12.9" customHeight="1">
      <c r="B623" s="512"/>
      <c r="C623" s="2"/>
      <c r="AU623" s="3"/>
      <c r="AZ623" s="3"/>
      <c r="BA623" s="3"/>
      <c r="BB623" s="3"/>
      <c r="BC623" s="3"/>
    </row>
    <row r="624" spans="1:55" ht="12.9" customHeight="1">
      <c r="B624" s="1669" t="s">
        <v>2104</v>
      </c>
      <c r="C624" s="1669"/>
      <c r="D624" s="1669"/>
      <c r="E624" s="1669"/>
      <c r="F624" s="1669"/>
      <c r="G624" s="1669"/>
      <c r="H624" s="1669"/>
      <c r="I624" s="1669"/>
      <c r="J624" s="1669"/>
      <c r="K624" s="1669"/>
      <c r="L624" s="1669"/>
      <c r="M624" s="1674" t="s">
        <v>2105</v>
      </c>
      <c r="N624" s="1674"/>
      <c r="O624" s="1674"/>
      <c r="P624" s="1674"/>
      <c r="Q624" s="1674" t="s">
        <v>1854</v>
      </c>
      <c r="R624" s="1674"/>
      <c r="S624" s="1674"/>
      <c r="T624" s="1674" t="s">
        <v>1852</v>
      </c>
      <c r="U624" s="1674"/>
      <c r="V624" s="1674"/>
      <c r="W624" s="1670" t="s">
        <v>454</v>
      </c>
      <c r="X624" s="1670"/>
      <c r="Y624" s="1670"/>
      <c r="Z624" s="1397" t="s">
        <v>2134</v>
      </c>
      <c r="AA624" s="1397"/>
      <c r="AB624" s="1398"/>
      <c r="AC624" s="1675" t="s">
        <v>1677</v>
      </c>
      <c r="AD624" s="1676"/>
      <c r="AE624" s="1677"/>
      <c r="AF624" s="1396" t="s">
        <v>1932</v>
      </c>
      <c r="AG624" s="1397"/>
      <c r="AH624" s="1397"/>
      <c r="AI624" s="1397"/>
      <c r="AJ624" s="1398"/>
      <c r="AK624" s="1590" t="s">
        <v>1933</v>
      </c>
      <c r="AL624" s="1591"/>
      <c r="AM624" s="1591"/>
      <c r="AN624" s="1592"/>
      <c r="AO624" s="1674" t="s">
        <v>455</v>
      </c>
      <c r="AP624" s="1674"/>
      <c r="AQ624" s="1674"/>
      <c r="AR624" s="1674"/>
      <c r="AS624" s="1674"/>
      <c r="AU624" s="3"/>
      <c r="AZ624" s="3"/>
      <c r="BA624" s="3"/>
      <c r="BB624" s="3"/>
      <c r="BC624" s="3"/>
    </row>
    <row r="625" spans="2:157" ht="12.9" customHeight="1">
      <c r="B625" s="1669"/>
      <c r="C625" s="1669"/>
      <c r="D625" s="1669"/>
      <c r="E625" s="1669"/>
      <c r="F625" s="1669"/>
      <c r="G625" s="1669"/>
      <c r="H625" s="1669"/>
      <c r="I625" s="1669"/>
      <c r="J625" s="1669"/>
      <c r="K625" s="1669"/>
      <c r="L625" s="1669"/>
      <c r="M625" s="1674"/>
      <c r="N625" s="1674"/>
      <c r="O625" s="1674"/>
      <c r="P625" s="1674"/>
      <c r="Q625" s="1674"/>
      <c r="R625" s="1674"/>
      <c r="S625" s="1674"/>
      <c r="T625" s="1674"/>
      <c r="U625" s="1674"/>
      <c r="V625" s="1674"/>
      <c r="W625" s="1670"/>
      <c r="X625" s="1670"/>
      <c r="Y625" s="1670"/>
      <c r="Z625" s="1400"/>
      <c r="AA625" s="1400"/>
      <c r="AB625" s="1401"/>
      <c r="AC625" s="1678"/>
      <c r="AD625" s="1679"/>
      <c r="AE625" s="1680"/>
      <c r="AF625" s="1399"/>
      <c r="AG625" s="1400"/>
      <c r="AH625" s="1400"/>
      <c r="AI625" s="1400"/>
      <c r="AJ625" s="1401"/>
      <c r="AK625" s="1593"/>
      <c r="AL625" s="1594"/>
      <c r="AM625" s="1594"/>
      <c r="AN625" s="1595"/>
      <c r="AO625" s="1674"/>
      <c r="AP625" s="1674"/>
      <c r="AQ625" s="1674"/>
      <c r="AR625" s="1674"/>
      <c r="AS625" s="1674"/>
      <c r="AU625" s="3"/>
      <c r="AZ625" s="3"/>
      <c r="BA625" s="3"/>
      <c r="BB625" s="3"/>
      <c r="BC625" s="3"/>
      <c r="BD625" s="3"/>
    </row>
    <row r="626" spans="2:157" ht="12.9" customHeight="1">
      <c r="B626" s="1669"/>
      <c r="C626" s="1669"/>
      <c r="D626" s="1669"/>
      <c r="E626" s="1669"/>
      <c r="F626" s="1669"/>
      <c r="G626" s="1669"/>
      <c r="H626" s="1669"/>
      <c r="I626" s="1669"/>
      <c r="J626" s="1669"/>
      <c r="K626" s="1669"/>
      <c r="L626" s="1669"/>
      <c r="M626" s="1674"/>
      <c r="N626" s="1674"/>
      <c r="O626" s="1674"/>
      <c r="P626" s="1674"/>
      <c r="Q626" s="1674"/>
      <c r="R626" s="1674"/>
      <c r="S626" s="1674"/>
      <c r="T626" s="1674"/>
      <c r="U626" s="1674"/>
      <c r="V626" s="1674"/>
      <c r="W626" s="1670"/>
      <c r="X626" s="1670"/>
      <c r="Y626" s="1670"/>
      <c r="Z626" s="1403"/>
      <c r="AA626" s="1403"/>
      <c r="AB626" s="1404"/>
      <c r="AC626" s="1681"/>
      <c r="AD626" s="1682"/>
      <c r="AE626" s="1683"/>
      <c r="AF626" s="1402"/>
      <c r="AG626" s="1403"/>
      <c r="AH626" s="1403"/>
      <c r="AI626" s="1403"/>
      <c r="AJ626" s="1404"/>
      <c r="AK626" s="1596"/>
      <c r="AL626" s="1597"/>
      <c r="AM626" s="1597"/>
      <c r="AN626" s="1598"/>
      <c r="AO626" s="1674"/>
      <c r="AP626" s="1674"/>
      <c r="AQ626" s="1674"/>
      <c r="AR626" s="1674"/>
      <c r="AS626" s="1674"/>
      <c r="AT626" s="3"/>
      <c r="AU626" s="3"/>
      <c r="AZ626" s="3"/>
      <c r="BA626" s="3"/>
      <c r="BB626" s="3"/>
      <c r="BC626" s="3"/>
      <c r="BD626" s="3"/>
    </row>
    <row r="627" spans="2:157" ht="12.9" customHeight="1">
      <c r="B627" s="51" t="s">
        <v>112</v>
      </c>
      <c r="C627" s="1479" t="s">
        <v>2626</v>
      </c>
      <c r="D627" s="1479"/>
      <c r="E627" s="1479"/>
      <c r="F627" s="1479"/>
      <c r="G627" s="1479"/>
      <c r="H627" s="1479"/>
      <c r="I627" s="1479"/>
      <c r="J627" s="1479"/>
      <c r="K627" s="1479"/>
      <c r="L627" s="1479"/>
      <c r="M627" s="1493" t="s">
        <v>2121</v>
      </c>
      <c r="N627" s="1493"/>
      <c r="O627" s="1493"/>
      <c r="P627" s="1493"/>
      <c r="Q627" s="1509">
        <v>480</v>
      </c>
      <c r="R627" s="1509"/>
      <c r="S627" s="1510"/>
      <c r="T627" s="1508">
        <v>480</v>
      </c>
      <c r="U627" s="1509"/>
      <c r="V627" s="1510"/>
      <c r="W627" s="1480">
        <v>6.1499999999999999E-2</v>
      </c>
      <c r="X627" s="1481"/>
      <c r="Y627" s="1482"/>
      <c r="Z627" s="1476" t="s">
        <v>2133</v>
      </c>
      <c r="AA627" s="1477"/>
      <c r="AB627" s="1478"/>
      <c r="AC627" s="1381">
        <v>1</v>
      </c>
      <c r="AD627" s="1382"/>
      <c r="AE627" s="1383"/>
      <c r="AF627" s="1490">
        <v>773773</v>
      </c>
      <c r="AG627" s="1491"/>
      <c r="AH627" s="1491"/>
      <c r="AI627" s="1491"/>
      <c r="AJ627" s="1492"/>
      <c r="AK627" s="1484"/>
      <c r="AL627" s="1485"/>
      <c r="AM627" s="1485"/>
      <c r="AN627" s="1486"/>
      <c r="AO627" s="1638">
        <v>11500000</v>
      </c>
      <c r="AP627" s="1638"/>
      <c r="AQ627" s="1638"/>
      <c r="AR627" s="1638"/>
      <c r="AS627" s="1638"/>
      <c r="AT627" s="3"/>
      <c r="AU627" s="3"/>
      <c r="AZ627" s="3"/>
      <c r="BA627" s="3"/>
      <c r="BB627" s="3"/>
      <c r="BC627" s="3"/>
      <c r="BD627" s="3"/>
    </row>
    <row r="628" spans="2:157" ht="12.9" customHeight="1">
      <c r="B628" s="52" t="s">
        <v>113</v>
      </c>
      <c r="C628" s="1479" t="s">
        <v>2625</v>
      </c>
      <c r="D628" s="1479"/>
      <c r="E628" s="1479"/>
      <c r="F628" s="1479"/>
      <c r="G628" s="1479"/>
      <c r="H628" s="1479"/>
      <c r="I628" s="1479"/>
      <c r="J628" s="1479"/>
      <c r="K628" s="1479"/>
      <c r="L628" s="1479"/>
      <c r="M628" s="1493" t="s">
        <v>2117</v>
      </c>
      <c r="N628" s="1493"/>
      <c r="O628" s="1493"/>
      <c r="P628" s="1493"/>
      <c r="Q628" s="1508">
        <v>660</v>
      </c>
      <c r="R628" s="1509"/>
      <c r="S628" s="1510"/>
      <c r="T628" s="1508">
        <v>660</v>
      </c>
      <c r="U628" s="1509"/>
      <c r="V628" s="1510"/>
      <c r="W628" s="1480">
        <v>0.03</v>
      </c>
      <c r="X628" s="1481"/>
      <c r="Y628" s="1482"/>
      <c r="Z628" s="1476" t="s">
        <v>458</v>
      </c>
      <c r="AA628" s="1477"/>
      <c r="AB628" s="1478"/>
      <c r="AC628" s="1381"/>
      <c r="AD628" s="1382"/>
      <c r="AE628" s="1383"/>
      <c r="AF628" s="1490"/>
      <c r="AG628" s="1491"/>
      <c r="AH628" s="1491"/>
      <c r="AI628" s="1491"/>
      <c r="AJ628" s="1492"/>
      <c r="AK628" s="1484"/>
      <c r="AL628" s="1485"/>
      <c r="AM628" s="1485"/>
      <c r="AN628" s="1486"/>
      <c r="AO628" s="1475">
        <v>2500000</v>
      </c>
      <c r="AP628" s="1338"/>
      <c r="AQ628" s="1338"/>
      <c r="AR628" s="1338"/>
      <c r="AS628" s="1339"/>
      <c r="AT628" s="1148" t="str">
        <f>IF(AND(NOT(C627=""),C628="",NOT(C629="")),"!","")</f>
        <v/>
      </c>
      <c r="AU628" s="3"/>
      <c r="AZ628" s="3"/>
      <c r="BA628" s="3"/>
      <c r="BB628" s="3"/>
      <c r="BC628" s="3"/>
      <c r="BD628" s="3"/>
    </row>
    <row r="629" spans="2:157" ht="12.9" customHeight="1">
      <c r="B629" s="52" t="s">
        <v>119</v>
      </c>
      <c r="C629" s="1479" t="s">
        <v>2323</v>
      </c>
      <c r="D629" s="1479"/>
      <c r="E629" s="1479"/>
      <c r="F629" s="1479"/>
      <c r="G629" s="1479"/>
      <c r="H629" s="1479"/>
      <c r="I629" s="1479"/>
      <c r="J629" s="1479"/>
      <c r="K629" s="1479"/>
      <c r="L629" s="1479"/>
      <c r="M629" s="1493" t="s">
        <v>2108</v>
      </c>
      <c r="N629" s="1493"/>
      <c r="O629" s="1493"/>
      <c r="P629" s="1493"/>
      <c r="Q629" s="1508"/>
      <c r="R629" s="1509"/>
      <c r="S629" s="1510"/>
      <c r="T629" s="1508"/>
      <c r="U629" s="1509"/>
      <c r="V629" s="1510"/>
      <c r="W629" s="1480"/>
      <c r="X629" s="1481"/>
      <c r="Y629" s="1482"/>
      <c r="Z629" s="1476" t="s">
        <v>1185</v>
      </c>
      <c r="AA629" s="1477"/>
      <c r="AB629" s="1478"/>
      <c r="AC629" s="1381"/>
      <c r="AD629" s="1382"/>
      <c r="AE629" s="1383"/>
      <c r="AF629" s="1490"/>
      <c r="AG629" s="1491"/>
      <c r="AH629" s="1491"/>
      <c r="AI629" s="1491"/>
      <c r="AJ629" s="1492"/>
      <c r="AK629" s="1484"/>
      <c r="AL629" s="1485"/>
      <c r="AM629" s="1485"/>
      <c r="AN629" s="1486"/>
      <c r="AO629" s="1475">
        <v>4093419</v>
      </c>
      <c r="AP629" s="1338"/>
      <c r="AQ629" s="1338"/>
      <c r="AR629" s="1338"/>
      <c r="AS629" s="1339"/>
      <c r="AT629" s="1148" t="str">
        <f t="shared" ref="AT629:AT638" si="1">IF(AND(NOT(C628=""),C629="",NOT(C630="")),"!","")</f>
        <v/>
      </c>
      <c r="AU629" s="3"/>
      <c r="AZ629" s="3"/>
      <c r="BA629" s="3"/>
      <c r="BB629" s="3"/>
      <c r="BC629" s="3"/>
      <c r="BD629" s="3"/>
    </row>
    <row r="630" spans="2:157" ht="12.9" customHeight="1">
      <c r="B630" s="52" t="s">
        <v>582</v>
      </c>
      <c r="C630" s="1479" t="s">
        <v>250</v>
      </c>
      <c r="D630" s="1489"/>
      <c r="E630" s="1489"/>
      <c r="F630" s="1489"/>
      <c r="G630" s="1489"/>
      <c r="H630" s="1489"/>
      <c r="I630" s="1489"/>
      <c r="J630" s="1489"/>
      <c r="K630" s="1489"/>
      <c r="L630" s="1489"/>
      <c r="M630" s="1493" t="s">
        <v>1185</v>
      </c>
      <c r="N630" s="1493"/>
      <c r="O630" s="1493"/>
      <c r="P630" s="1493"/>
      <c r="Q630" s="1508"/>
      <c r="R630" s="1509"/>
      <c r="S630" s="1510"/>
      <c r="T630" s="1508"/>
      <c r="U630" s="1509"/>
      <c r="V630" s="1510"/>
      <c r="W630" s="1480"/>
      <c r="X630" s="1481"/>
      <c r="Y630" s="1482"/>
      <c r="Z630" s="1476" t="s">
        <v>1185</v>
      </c>
      <c r="AA630" s="1477"/>
      <c r="AB630" s="1478"/>
      <c r="AC630" s="1381"/>
      <c r="AD630" s="1382"/>
      <c r="AE630" s="1383"/>
      <c r="AF630" s="1490"/>
      <c r="AG630" s="1491"/>
      <c r="AH630" s="1491"/>
      <c r="AI630" s="1491"/>
      <c r="AJ630" s="1492"/>
      <c r="AK630" s="1484"/>
      <c r="AL630" s="1485"/>
      <c r="AM630" s="1485"/>
      <c r="AN630" s="1486"/>
      <c r="AO630" s="1475">
        <v>0</v>
      </c>
      <c r="AP630" s="1338"/>
      <c r="AQ630" s="1338"/>
      <c r="AR630" s="1338"/>
      <c r="AS630" s="1339"/>
      <c r="AT630" s="1148" t="str">
        <f t="shared" si="1"/>
        <v/>
      </c>
      <c r="AU630" s="3"/>
      <c r="AZ630" s="3"/>
      <c r="BA630" s="3"/>
      <c r="BB630" s="3"/>
      <c r="BC630" s="3"/>
      <c r="BD630" s="3"/>
    </row>
    <row r="631" spans="2:157" ht="12.9" customHeight="1">
      <c r="B631" s="52" t="s">
        <v>764</v>
      </c>
      <c r="C631" s="1479" t="s">
        <v>250</v>
      </c>
      <c r="D631" s="1489"/>
      <c r="E631" s="1489"/>
      <c r="F631" s="1489"/>
      <c r="G631" s="1489"/>
      <c r="H631" s="1489"/>
      <c r="I631" s="1489"/>
      <c r="J631" s="1489"/>
      <c r="K631" s="1489"/>
      <c r="L631" s="1489"/>
      <c r="M631" s="1493" t="s">
        <v>1185</v>
      </c>
      <c r="N631" s="1493"/>
      <c r="O631" s="1493"/>
      <c r="P631" s="1493"/>
      <c r="Q631" s="1508">
        <v>0</v>
      </c>
      <c r="R631" s="1509"/>
      <c r="S631" s="1510"/>
      <c r="T631" s="1508">
        <v>0</v>
      </c>
      <c r="U631" s="1509"/>
      <c r="V631" s="1510"/>
      <c r="W631" s="1480">
        <v>0</v>
      </c>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v>0</v>
      </c>
      <c r="AP631" s="1338"/>
      <c r="AQ631" s="1338"/>
      <c r="AR631" s="1338"/>
      <c r="AS631" s="1339"/>
      <c r="AT631" s="1148" t="str">
        <f t="shared" si="1"/>
        <v/>
      </c>
      <c r="AU631" s="3"/>
      <c r="AZ631" s="3"/>
      <c r="BA631" s="3"/>
      <c r="BB631" s="3"/>
      <c r="BC631" s="3"/>
      <c r="BD631" s="3"/>
    </row>
    <row r="632" spans="2:157" ht="12.9" customHeight="1">
      <c r="B632" s="52" t="s">
        <v>585</v>
      </c>
      <c r="C632" s="1479" t="s">
        <v>250</v>
      </c>
      <c r="D632" s="1489"/>
      <c r="E632" s="1489"/>
      <c r="F632" s="1489"/>
      <c r="G632" s="1489"/>
      <c r="H632" s="1489"/>
      <c r="I632" s="1489"/>
      <c r="J632" s="1489"/>
      <c r="K632" s="1489"/>
      <c r="L632" s="1489"/>
      <c r="M632" s="1493" t="s">
        <v>1185</v>
      </c>
      <c r="N632" s="1493"/>
      <c r="O632" s="1493"/>
      <c r="P632" s="1493"/>
      <c r="Q632" s="1508"/>
      <c r="R632" s="1509"/>
      <c r="S632" s="1510"/>
      <c r="T632" s="1508"/>
      <c r="U632" s="1509"/>
      <c r="V632" s="1510"/>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 customHeight="1">
      <c r="B633" s="52" t="s">
        <v>456</v>
      </c>
      <c r="C633" s="1489"/>
      <c r="D633" s="1489"/>
      <c r="E633" s="1489"/>
      <c r="F633" s="1489"/>
      <c r="G633" s="1489"/>
      <c r="H633" s="1489"/>
      <c r="I633" s="1489"/>
      <c r="J633" s="1489"/>
      <c r="K633" s="1489"/>
      <c r="L633" s="1489"/>
      <c r="M633" s="1493" t="s">
        <v>1185</v>
      </c>
      <c r="N633" s="1493"/>
      <c r="O633" s="1493"/>
      <c r="P633" s="1493"/>
      <c r="Q633" s="1508"/>
      <c r="R633" s="1509"/>
      <c r="S633" s="1510"/>
      <c r="T633" s="1508"/>
      <c r="U633" s="1509"/>
      <c r="V633" s="1510"/>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 customHeight="1">
      <c r="B634" s="52" t="s">
        <v>457</v>
      </c>
      <c r="C634" s="1489"/>
      <c r="D634" s="1489"/>
      <c r="E634" s="1489"/>
      <c r="F634" s="1489"/>
      <c r="G634" s="1489"/>
      <c r="H634" s="1489"/>
      <c r="I634" s="1489"/>
      <c r="J634" s="1489"/>
      <c r="K634" s="1489"/>
      <c r="L634" s="1489"/>
      <c r="M634" s="1493" t="s">
        <v>1185</v>
      </c>
      <c r="N634" s="1493"/>
      <c r="O634" s="1493"/>
      <c r="P634" s="1493"/>
      <c r="Q634" s="1508"/>
      <c r="R634" s="1509"/>
      <c r="S634" s="1510"/>
      <c r="T634" s="1508"/>
      <c r="U634" s="1509"/>
      <c r="V634" s="1510"/>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 customHeight="1">
      <c r="B635" s="52" t="s">
        <v>462</v>
      </c>
      <c r="C635" s="1489"/>
      <c r="D635" s="1489"/>
      <c r="E635" s="1489"/>
      <c r="F635" s="1489"/>
      <c r="G635" s="1489"/>
      <c r="H635" s="1489"/>
      <c r="I635" s="1489"/>
      <c r="J635" s="1489"/>
      <c r="K635" s="1489"/>
      <c r="L635" s="1489"/>
      <c r="M635" s="1493" t="s">
        <v>1185</v>
      </c>
      <c r="N635" s="1493"/>
      <c r="O635" s="1493"/>
      <c r="P635" s="1493"/>
      <c r="Q635" s="1508"/>
      <c r="R635" s="1509"/>
      <c r="S635" s="1510"/>
      <c r="T635" s="1508"/>
      <c r="U635" s="1509"/>
      <c r="V635" s="1510"/>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386.36363636363637</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 customHeight="1">
      <c r="B636" s="52" t="s">
        <v>647</v>
      </c>
      <c r="C636" s="1489"/>
      <c r="D636" s="1489"/>
      <c r="E636" s="1489"/>
      <c r="F636" s="1489"/>
      <c r="G636" s="1489"/>
      <c r="H636" s="1489"/>
      <c r="I636" s="1489"/>
      <c r="J636" s="1489"/>
      <c r="K636" s="1489"/>
      <c r="L636" s="1489"/>
      <c r="M636" s="1493" t="s">
        <v>1185</v>
      </c>
      <c r="N636" s="1493"/>
      <c r="O636" s="1493"/>
      <c r="P636" s="1493"/>
      <c r="Q636" s="1508"/>
      <c r="R636" s="1509"/>
      <c r="S636" s="1510"/>
      <c r="T636" s="1508"/>
      <c r="U636" s="1509"/>
      <c r="V636" s="1510"/>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398.63636363636363</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 customHeight="1">
      <c r="B637" s="52" t="s">
        <v>362</v>
      </c>
      <c r="C637" s="1489"/>
      <c r="D637" s="1489"/>
      <c r="E637" s="1489"/>
      <c r="F637" s="1489"/>
      <c r="G637" s="1489"/>
      <c r="H637" s="1489"/>
      <c r="I637" s="1489"/>
      <c r="J637" s="1489"/>
      <c r="K637" s="1489"/>
      <c r="L637" s="1489"/>
      <c r="M637" s="1493" t="s">
        <v>1185</v>
      </c>
      <c r="N637" s="1493"/>
      <c r="O637" s="1493"/>
      <c r="P637" s="1493"/>
      <c r="Q637" s="1508"/>
      <c r="R637" s="1509"/>
      <c r="S637" s="1510"/>
      <c r="T637" s="1508"/>
      <c r="U637" s="1509"/>
      <c r="V637" s="1510"/>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125.72727272727273</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 customHeight="1">
      <c r="B638" s="52" t="s">
        <v>363</v>
      </c>
      <c r="C638" s="1489"/>
      <c r="D638" s="1489"/>
      <c r="E638" s="1489"/>
      <c r="F638" s="1489"/>
      <c r="G638" s="1489"/>
      <c r="H638" s="1489"/>
      <c r="I638" s="1489"/>
      <c r="J638" s="1489"/>
      <c r="K638" s="1489"/>
      <c r="L638" s="1489"/>
      <c r="M638" s="1493" t="s">
        <v>1185</v>
      </c>
      <c r="N638" s="1493"/>
      <c r="O638" s="1493"/>
      <c r="P638" s="1493"/>
      <c r="Q638" s="1508"/>
      <c r="R638" s="1509"/>
      <c r="S638" s="1510"/>
      <c r="T638" s="1508"/>
      <c r="U638" s="1509"/>
      <c r="V638" s="1510"/>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46</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18093419</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361.85714285714283</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26775824</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596.57142857142856</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 customHeight="1">
      <c r="B641" s="1832"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3"/>
      <c r="AO641" s="1472">
        <f>AO639+AO640</f>
        <v>44869243</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117.35714285714285</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85.571428571428569</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 customHeight="1">
      <c r="A643" s="55" t="s">
        <v>112</v>
      </c>
      <c r="B643" t="s">
        <v>464</v>
      </c>
      <c r="G643" s="1483" t="str">
        <f>C627</f>
        <v>Banc of CA Perm</v>
      </c>
      <c r="H643" s="1483"/>
      <c r="I643" s="1483"/>
      <c r="J643" s="1483"/>
      <c r="K643" s="1483"/>
      <c r="L643" s="1483"/>
      <c r="M643" s="1483"/>
      <c r="N643" s="1483"/>
      <c r="O643" s="1483"/>
      <c r="P643" s="1483"/>
      <c r="Q643" s="1483"/>
      <c r="R643" s="1483"/>
      <c r="S643" s="8"/>
      <c r="T643" s="55" t="s">
        <v>113</v>
      </c>
      <c r="U643" t="s">
        <v>464</v>
      </c>
      <c r="Z643" s="1483" t="str">
        <f>C628</f>
        <v>City Santa Cruz Loan</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447.38461538461542</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 customHeight="1">
      <c r="A644" s="22"/>
      <c r="B644" t="s">
        <v>85</v>
      </c>
      <c r="G644" s="1407" t="s">
        <v>2704</v>
      </c>
      <c r="H644" s="1407"/>
      <c r="I644" s="1407"/>
      <c r="J644" s="1407"/>
      <c r="K644" s="1407"/>
      <c r="L644" s="1407"/>
      <c r="M644" s="1407"/>
      <c r="N644" s="1407"/>
      <c r="O644" s="1407"/>
      <c r="P644" s="1407"/>
      <c r="Q644" s="1407"/>
      <c r="R644" s="1407"/>
      <c r="S644" s="8"/>
      <c r="T644" s="22"/>
      <c r="U644" t="s">
        <v>85</v>
      </c>
      <c r="Z644" s="1407" t="s">
        <v>2711</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920.76923076923083</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 customHeight="1">
      <c r="A645" s="22"/>
      <c r="B645" t="s">
        <v>581</v>
      </c>
      <c r="G645" s="1407" t="s">
        <v>2652</v>
      </c>
      <c r="H645" s="1407"/>
      <c r="I645" s="1407"/>
      <c r="J645" s="1407"/>
      <c r="K645" s="1407"/>
      <c r="L645" s="1407"/>
      <c r="M645" s="1407"/>
      <c r="N645" s="1407"/>
      <c r="O645" s="1407"/>
      <c r="P645" s="1407"/>
      <c r="Q645" s="1407"/>
      <c r="R645" s="1407"/>
      <c r="T645" s="22"/>
      <c r="U645" t="s">
        <v>581</v>
      </c>
      <c r="Z645" s="1371" t="s">
        <v>2712</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144.61538461538461</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 customHeight="1">
      <c r="A646" s="22"/>
      <c r="B646" t="s">
        <v>17</v>
      </c>
      <c r="G646" s="1407" t="s">
        <v>2705</v>
      </c>
      <c r="H646" s="1407"/>
      <c r="I646" s="1407"/>
      <c r="J646" s="1407"/>
      <c r="K646" s="1407"/>
      <c r="L646" s="1407"/>
      <c r="M646" s="1407"/>
      <c r="N646" s="1407"/>
      <c r="O646" s="1407"/>
      <c r="P646" s="1407"/>
      <c r="Q646" s="1407"/>
      <c r="R646" s="1407"/>
      <c r="S646" s="8"/>
      <c r="T646" s="22"/>
      <c r="U646" t="s">
        <v>17</v>
      </c>
      <c r="Z646" s="1371" t="s">
        <v>2715</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105</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 customHeight="1">
      <c r="A647" s="22"/>
      <c r="B647" t="s">
        <v>316</v>
      </c>
      <c r="G647" s="1487" t="s">
        <v>2706</v>
      </c>
      <c r="H647" s="1487"/>
      <c r="I647" s="1487"/>
      <c r="J647" s="1487"/>
      <c r="K647" s="1487"/>
      <c r="L647" s="1487"/>
      <c r="O647" s="33" t="s">
        <v>206</v>
      </c>
      <c r="P647" s="1471"/>
      <c r="Q647" s="1471"/>
      <c r="R647" s="1471"/>
      <c r="S647" s="10"/>
      <c r="T647" s="22"/>
      <c r="U647" t="s">
        <v>316</v>
      </c>
      <c r="Z647" s="1487" t="s">
        <v>2713</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f t="shared" si="3"/>
        <v>79.727272727272734</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 customHeight="1">
      <c r="A648" s="22"/>
      <c r="B648" t="s">
        <v>18</v>
      </c>
      <c r="H648" s="1407" t="s">
        <v>2716</v>
      </c>
      <c r="I648" s="1407"/>
      <c r="J648" s="1407"/>
      <c r="K648" s="1407"/>
      <c r="L648" s="1407"/>
      <c r="M648" s="1407"/>
      <c r="N648" s="1407"/>
      <c r="O648" s="1407"/>
      <c r="P648" s="1407"/>
      <c r="Q648" s="1407"/>
      <c r="R648" s="1407"/>
      <c r="S648" s="8"/>
      <c r="T648" s="22"/>
      <c r="U648" t="s">
        <v>18</v>
      </c>
      <c r="AA648" s="1407"/>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f t="shared" si="3"/>
        <v>251.45454545454547</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f t="shared" si="3"/>
        <v>230</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f t="shared" si="4"/>
        <v>149.14285714285714</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 customHeight="1">
      <c r="A651" s="55" t="s">
        <v>119</v>
      </c>
      <c r="B651" t="s">
        <v>464</v>
      </c>
      <c r="G651" s="1483" t="str">
        <f>C629</f>
        <v>Deferred Developer Fee</v>
      </c>
      <c r="H651" s="1483"/>
      <c r="I651" s="1483"/>
      <c r="J651" s="1483"/>
      <c r="K651" s="1483"/>
      <c r="L651" s="1483"/>
      <c r="M651" s="1483"/>
      <c r="N651" s="1483"/>
      <c r="O651" s="1483"/>
      <c r="P651" s="1483"/>
      <c r="Q651" s="1483"/>
      <c r="R651" s="1483"/>
      <c r="T651" s="55" t="s">
        <v>582</v>
      </c>
      <c r="U651" t="s">
        <v>464</v>
      </c>
      <c r="Z651" s="1483" t="str">
        <f>C630</f>
        <v xml:space="preserve"> </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f t="shared" si="4"/>
        <v>234.71428571428569</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 customHeight="1">
      <c r="A652" s="22"/>
      <c r="B652" t="s">
        <v>85</v>
      </c>
      <c r="G652" s="1407" t="s">
        <v>2638</v>
      </c>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f t="shared" si="4"/>
        <v>256.71428571428572</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 customHeight="1">
      <c r="A653" s="22"/>
      <c r="B653" t="s">
        <v>581</v>
      </c>
      <c r="G653" s="1371" t="s">
        <v>2652</v>
      </c>
      <c r="H653" s="1371"/>
      <c r="I653" s="1371"/>
      <c r="J653" s="1371"/>
      <c r="K653" s="1371"/>
      <c r="L653" s="1371"/>
      <c r="M653" s="1371"/>
      <c r="N653" s="1371"/>
      <c r="O653" s="1371"/>
      <c r="P653" s="1371"/>
      <c r="Q653" s="1371"/>
      <c r="R653" s="1371"/>
      <c r="T653" s="22"/>
      <c r="U653" t="s">
        <v>581</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f t="shared" si="5"/>
        <v>184.15384615384616</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 customHeight="1">
      <c r="A654" s="22"/>
      <c r="B654" t="s">
        <v>17</v>
      </c>
      <c r="G654" s="1371" t="s">
        <v>2640</v>
      </c>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f t="shared" si="5"/>
        <v>144.61538461538461</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 customHeight="1">
      <c r="A655" s="22"/>
      <c r="B655" t="s">
        <v>316</v>
      </c>
      <c r="G655" s="1546" t="s">
        <v>2641</v>
      </c>
      <c r="H655" s="1487"/>
      <c r="I655" s="1487"/>
      <c r="J655" s="1487"/>
      <c r="K655" s="1487"/>
      <c r="L655" s="1487"/>
      <c r="O655" s="33" t="s">
        <v>206</v>
      </c>
      <c r="P655" s="1471"/>
      <c r="Q655" s="1471"/>
      <c r="R655" s="1471"/>
      <c r="T655" s="22"/>
      <c r="U655" t="s">
        <v>316</v>
      </c>
      <c r="Z655" s="1487"/>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f t="shared" si="5"/>
        <v>210</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 customHeight="1">
      <c r="A656" s="22"/>
      <c r="B656" t="s">
        <v>18</v>
      </c>
      <c r="H656" s="1407" t="s">
        <v>2323</v>
      </c>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 customHeight="1">
      <c r="A657" s="22"/>
      <c r="B657" t="s">
        <v>20</v>
      </c>
      <c r="N657" s="1415" t="s">
        <v>546</v>
      </c>
      <c r="O657" s="1415"/>
      <c r="T657" s="22"/>
      <c r="U657" t="s">
        <v>20</v>
      </c>
      <c r="AG657" s="1415" t="s">
        <v>670</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 customHeight="1">
      <c r="A659" s="55" t="s">
        <v>764</v>
      </c>
      <c r="B659" t="s">
        <v>464</v>
      </c>
      <c r="G659" s="1483" t="str">
        <f>C631</f>
        <v xml:space="preserve"> </v>
      </c>
      <c r="H659" s="1483"/>
      <c r="I659" s="1483"/>
      <c r="J659" s="1483"/>
      <c r="K659" s="1483"/>
      <c r="L659" s="1483"/>
      <c r="M659" s="1483"/>
      <c r="N659" s="1483"/>
      <c r="O659" s="1483"/>
      <c r="P659" s="1483"/>
      <c r="Q659" s="1483"/>
      <c r="R659" s="1483"/>
      <c r="T659" s="55" t="s">
        <v>585</v>
      </c>
      <c r="U659" t="s">
        <v>464</v>
      </c>
      <c r="Z659" s="1483" t="str">
        <f>C632</f>
        <v xml:space="preserve"> </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1517.909090909091</v>
      </c>
      <c r="ED670" s="1369"/>
      <c r="EE670" s="1369"/>
      <c r="EF670" s="1369"/>
      <c r="EG670" s="1369"/>
      <c r="EH670" s="1369">
        <f>SUMIF(EH635:EL669,"&gt;0")</f>
        <v>1801.9285714285716</v>
      </c>
      <c r="EI670" s="1369"/>
      <c r="EJ670" s="1369"/>
      <c r="EK670" s="1369"/>
      <c r="EL670" s="1369"/>
      <c r="EM670" s="1369">
        <f>SUMIF(EM635:EQ669,"&gt;0")</f>
        <v>2156.5384615384614</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415" t="s">
        <v>670</v>
      </c>
      <c r="O673" s="1415"/>
      <c r="T673" s="22"/>
      <c r="U673" t="s">
        <v>20</v>
      </c>
      <c r="AG673" s="1415" t="s">
        <v>670</v>
      </c>
      <c r="AH673" s="1415"/>
      <c r="AZ673" s="3"/>
    </row>
    <row r="674" spans="1:52" ht="12.9" customHeight="1">
      <c r="A674" s="22"/>
      <c r="T674" s="22"/>
      <c r="AZ674" s="3"/>
    </row>
    <row r="675" spans="1:52" ht="12.9"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 customHeight="1">
      <c r="A681" s="22"/>
      <c r="B681" t="s">
        <v>20</v>
      </c>
      <c r="N681" s="1415" t="s">
        <v>670</v>
      </c>
      <c r="O681" s="1415"/>
      <c r="T681" s="22"/>
      <c r="U681" t="s">
        <v>20</v>
      </c>
      <c r="AG681" s="1415" t="s">
        <v>670</v>
      </c>
      <c r="AH681" s="1415"/>
      <c r="AZ681" s="3"/>
    </row>
    <row r="682" spans="1:52" ht="12.9" customHeight="1">
      <c r="A682" s="22"/>
      <c r="T682" s="22"/>
      <c r="AZ682" s="3"/>
    </row>
    <row r="683" spans="1:52" ht="12.9"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 customHeight="1">
      <c r="B689" t="s">
        <v>20</v>
      </c>
      <c r="N689" s="1415" t="s">
        <v>670</v>
      </c>
      <c r="O689" s="1415"/>
      <c r="U689" t="s">
        <v>20</v>
      </c>
      <c r="AG689" s="1415" t="s">
        <v>670</v>
      </c>
      <c r="AH689" s="1415"/>
      <c r="AZ689" s="3"/>
    </row>
    <row r="690" spans="1:67" ht="12.9" customHeight="1">
      <c r="AZ690" s="3"/>
    </row>
    <row r="691" spans="1:67" ht="12.9" customHeight="1">
      <c r="A691" s="2" t="s">
        <v>577</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415" t="s">
        <v>546</v>
      </c>
      <c r="AF693" s="1415"/>
      <c r="AZ693" s="3"/>
    </row>
    <row r="694" spans="1:67" ht="12.9" customHeight="1">
      <c r="B694" s="135"/>
      <c r="C694" s="135"/>
      <c r="D694" s="136" t="s">
        <v>438</v>
      </c>
      <c r="E694" s="135"/>
      <c r="F694" s="135"/>
      <c r="G694" s="135"/>
      <c r="H694" s="135"/>
      <c r="AE694" s="1415" t="s">
        <v>670</v>
      </c>
      <c r="AF694" s="1415"/>
      <c r="AZ694" s="3"/>
    </row>
    <row r="695" spans="1:67" ht="12.9" customHeight="1">
      <c r="B695" s="135"/>
      <c r="C695" s="135"/>
      <c r="D695" s="136" t="s">
        <v>921</v>
      </c>
      <c r="E695" s="135"/>
      <c r="F695" s="135"/>
      <c r="G695" s="135"/>
      <c r="H695" s="135"/>
      <c r="AE695" s="1506"/>
      <c r="AF695" s="1506"/>
      <c r="AG695" s="1506"/>
      <c r="AH695" s="1506"/>
      <c r="AI695" s="1506"/>
    </row>
    <row r="696" spans="1:67" ht="12.9" customHeight="1">
      <c r="B696" s="135"/>
      <c r="C696" s="135"/>
      <c r="D696" s="317" t="s">
        <v>984</v>
      </c>
      <c r="E696" s="135"/>
      <c r="F696" s="135"/>
      <c r="G696" s="135"/>
      <c r="H696" s="135"/>
      <c r="AE696" s="1665"/>
      <c r="AF696" s="1665"/>
      <c r="AG696" s="1665"/>
      <c r="AH696" s="1665"/>
      <c r="AI696" s="1665"/>
    </row>
    <row r="697" spans="1:67" ht="12.9" customHeight="1">
      <c r="B697" s="135"/>
      <c r="C697" s="135"/>
    </row>
    <row r="698" spans="1:67" ht="12.9" customHeight="1">
      <c r="B698" s="135"/>
      <c r="C698" s="135"/>
      <c r="D698" s="136" t="s">
        <v>817</v>
      </c>
      <c r="E698" s="135"/>
      <c r="F698" s="135"/>
      <c r="G698" s="135"/>
      <c r="H698" s="135"/>
      <c r="AE698" s="1506"/>
      <c r="AF698" s="1506"/>
      <c r="AG698" s="1506"/>
      <c r="AH698" s="1506"/>
      <c r="AI698" s="1506"/>
    </row>
    <row r="699" spans="1:67" ht="12.9" customHeight="1">
      <c r="B699" s="135"/>
      <c r="C699" s="135"/>
      <c r="D699" s="136" t="s">
        <v>436</v>
      </c>
      <c r="E699" s="135"/>
      <c r="F699" s="135"/>
      <c r="G699" s="135"/>
      <c r="H699" s="135"/>
      <c r="AE699" s="1685"/>
      <c r="AF699" s="1685"/>
      <c r="AG699" s="1685"/>
      <c r="AH699" s="1685"/>
      <c r="AI699" s="1685"/>
    </row>
    <row r="700" spans="1:67" ht="12.9" customHeight="1">
      <c r="B700" s="135"/>
      <c r="C700" s="135"/>
      <c r="D700" s="136" t="s">
        <v>437</v>
      </c>
      <c r="E700" s="135"/>
      <c r="F700" s="135"/>
      <c r="G700" s="135"/>
      <c r="H700" s="135"/>
      <c r="W700" s="1483" t="str">
        <f>H335</f>
        <v>California Municipal Finance Authority</v>
      </c>
      <c r="X700" s="1483"/>
      <c r="Y700" s="1483"/>
      <c r="Z700" s="1483"/>
      <c r="AA700" s="1483"/>
      <c r="AB700" s="1483"/>
      <c r="AC700" s="1483"/>
      <c r="AD700" s="1483"/>
      <c r="AE700" s="1483"/>
      <c r="AF700" s="1483"/>
      <c r="AG700" s="1483"/>
      <c r="AH700" s="1483"/>
      <c r="AI700" s="1483"/>
      <c r="AJ700" s="1483"/>
      <c r="AK700" s="1483"/>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415" t="s">
        <v>670</v>
      </c>
      <c r="AF702" s="1415"/>
      <c r="AZ702" s="4" t="s">
        <v>324</v>
      </c>
    </row>
    <row r="703" spans="1:67" ht="12.9"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494" t="s">
        <v>389</v>
      </c>
      <c r="C714" s="1495"/>
      <c r="D714" s="1495"/>
      <c r="E714" s="1495"/>
      <c r="F714" s="1496"/>
      <c r="G714" s="1494" t="s">
        <v>285</v>
      </c>
      <c r="H714" s="1495"/>
      <c r="I714" s="1495"/>
      <c r="J714" s="1496"/>
      <c r="K714" s="1511" t="s">
        <v>1680</v>
      </c>
      <c r="L714" s="1512"/>
      <c r="M714" s="1512"/>
      <c r="N714" s="1513"/>
      <c r="O714" s="1494" t="s">
        <v>448</v>
      </c>
      <c r="P714" s="1495"/>
      <c r="Q714" s="1495"/>
      <c r="R714" s="1495"/>
      <c r="S714" s="1496"/>
      <c r="T714" s="1507" t="s">
        <v>1951</v>
      </c>
      <c r="U714" s="1495"/>
      <c r="V714" s="1495"/>
      <c r="W714" s="1496"/>
      <c r="X714" s="1507" t="s">
        <v>1953</v>
      </c>
      <c r="Y714" s="1495"/>
      <c r="Z714" s="1495"/>
      <c r="AA714" s="1495"/>
      <c r="AB714" s="1496"/>
      <c r="AC714" s="1507" t="s">
        <v>1952</v>
      </c>
      <c r="AD714" s="1495"/>
      <c r="AE714" s="1495"/>
      <c r="AF714" s="1495"/>
      <c r="AG714" s="1496"/>
      <c r="AH714" s="1507" t="s">
        <v>1954</v>
      </c>
      <c r="AI714" s="1495"/>
      <c r="AJ714" s="1496"/>
      <c r="AK714" s="1507" t="s">
        <v>1981</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5" t="s">
        <v>634</v>
      </c>
      <c r="CQ717" s="1796"/>
      <c r="CR717" s="1796"/>
      <c r="CS717" s="1796"/>
      <c r="CT717" s="1797"/>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 customHeight="1">
      <c r="A718" s="4"/>
      <c r="B718" s="1355" t="s">
        <v>325</v>
      </c>
      <c r="C718" s="1356"/>
      <c r="D718" s="1356"/>
      <c r="E718" s="1356"/>
      <c r="F718" s="1357"/>
      <c r="G718" s="1364">
        <v>4</v>
      </c>
      <c r="H718" s="1365"/>
      <c r="I718" s="1365"/>
      <c r="J718" s="1366"/>
      <c r="K718" s="1604">
        <v>453</v>
      </c>
      <c r="L718" s="1605"/>
      <c r="M718" s="1605"/>
      <c r="N718" s="1606"/>
      <c r="O718" s="1468">
        <v>2125</v>
      </c>
      <c r="P718" s="1469"/>
      <c r="Q718" s="1469"/>
      <c r="R718" s="1469"/>
      <c r="S718" s="1470"/>
      <c r="T718" s="1468">
        <v>100</v>
      </c>
      <c r="U718" s="1469"/>
      <c r="V718" s="1469"/>
      <c r="W718" s="1470"/>
      <c r="X718" s="1358">
        <f t="shared" ref="X718:X741" si="8">O718+T718</f>
        <v>2225</v>
      </c>
      <c r="Y718" s="1359"/>
      <c r="Z718" s="1359"/>
      <c r="AA718" s="1359"/>
      <c r="AB718" s="1360"/>
      <c r="AC718" s="1613">
        <v>0.6</v>
      </c>
      <c r="AD718" s="1614"/>
      <c r="AE718" s="1614"/>
      <c r="AF718" s="1614"/>
      <c r="AG718" s="1615"/>
      <c r="AH718" s="1361">
        <f>IF($AC718&gt;0,($X718/$AZ718), "")</f>
        <v>0.60005393743257818</v>
      </c>
      <c r="AI718" s="1362"/>
      <c r="AJ718" s="1363"/>
      <c r="AK718" s="1355" t="s">
        <v>592</v>
      </c>
      <c r="AL718" s="1356"/>
      <c r="AM718" s="1356"/>
      <c r="AN718" s="1356"/>
      <c r="AO718" s="1357"/>
      <c r="AP718" s="3"/>
      <c r="AQ718" s="3"/>
      <c r="AR718" s="3"/>
      <c r="AS718" s="3"/>
      <c r="AZ718" s="118">
        <f t="shared" ref="AZ718:AZ752" si="9">IF($G718=0,"N/A",VLOOKUP($T$189,TC_Rent,(MATCH($B718,bedrooms,FALSE)),FALSE))</f>
        <v>3708</v>
      </c>
      <c r="BA718" s="3"/>
      <c r="BB718" s="3"/>
      <c r="BC718" s="3"/>
      <c r="BD718" s="3"/>
      <c r="BE718" s="204"/>
      <c r="BF718" s="293">
        <f t="shared" ref="BF718:BF752" si="10">G718</f>
        <v>4</v>
      </c>
      <c r="BG718" s="297">
        <f t="shared" ref="BG718:BG752" si="11">IF($BF$753=0,0,BF718/$BF$753)</f>
        <v>8.1632653061224483E-2</v>
      </c>
      <c r="BH718" s="298">
        <f t="shared" ref="BH718:BH752" si="12">IF(BG718=0,"",BG718*AC718)</f>
        <v>4.8979591836734691E-2</v>
      </c>
      <c r="BI718" s="3"/>
      <c r="BJ718" s="3"/>
      <c r="BK718" s="3"/>
      <c r="BL718" s="3"/>
      <c r="BM718" s="3"/>
      <c r="BN718" s="3"/>
      <c r="BS718" s="293">
        <f t="shared" ref="BS718:BS752" si="13">G718</f>
        <v>4</v>
      </c>
      <c r="BT718" s="297">
        <f t="shared" ref="BT718:BT752" si="14">IF($BS$753=0,0,BS718/$BS$753)</f>
        <v>8.1632653061224483E-2</v>
      </c>
      <c r="BU718" s="298">
        <f t="shared" ref="BU718:BU752" si="15">IF(BT718=0,"",BT718*AH718)</f>
        <v>4.8983994892455356E-2</v>
      </c>
      <c r="CC718" s="3"/>
      <c r="CD718" s="3"/>
      <c r="CE718" s="3"/>
      <c r="CF718" s="3"/>
      <c r="CG718" s="1351">
        <f>IF(AND(AC718&lt;=0.5,AC718&gt;=0.36),1,0)</f>
        <v>0</v>
      </c>
      <c r="CH718" s="1353"/>
      <c r="CI718" s="1335">
        <f>IF(CG718=1,G718,0)</f>
        <v>0</v>
      </c>
      <c r="CJ718" s="1337"/>
      <c r="CK718" s="1351">
        <f t="shared" ref="CK718:CK752" si="16">IF(AND(AC718&lt;=0.35,AC718&gt;0),1,0)</f>
        <v>0</v>
      </c>
      <c r="CL718" s="1353"/>
      <c r="CM718" s="1335">
        <f t="shared" ref="CM718:CM752" si="17">IF(CK718=1,G718,0)</f>
        <v>0</v>
      </c>
      <c r="CN718" s="1337"/>
      <c r="CO718" s="3"/>
      <c r="CP718" s="1332">
        <f t="shared" ref="CP718:CP752" si="18">IF(B718="SRO/Studio",G718,0)</f>
        <v>0</v>
      </c>
      <c r="CQ718" s="1333"/>
      <c r="CR718" s="1333"/>
      <c r="CS718" s="1333"/>
      <c r="CT718" s="1334"/>
      <c r="CU718" s="1354">
        <f t="shared" ref="CU718:CU752" si="19">IF(B718="1 Bedroom",G718,0)</f>
        <v>4</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2125</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 customHeight="1">
      <c r="A719" s="4"/>
      <c r="B719" s="1355" t="s">
        <v>325</v>
      </c>
      <c r="C719" s="1356"/>
      <c r="D719" s="1356"/>
      <c r="E719" s="1356"/>
      <c r="F719" s="1357"/>
      <c r="G719" s="1364">
        <v>5</v>
      </c>
      <c r="H719" s="1365"/>
      <c r="I719" s="1365"/>
      <c r="J719" s="1366"/>
      <c r="K719" s="1604">
        <v>453</v>
      </c>
      <c r="L719" s="1605"/>
      <c r="M719" s="1605"/>
      <c r="N719" s="1606"/>
      <c r="O719" s="1468">
        <v>1754</v>
      </c>
      <c r="P719" s="1469"/>
      <c r="Q719" s="1469"/>
      <c r="R719" s="1469"/>
      <c r="S719" s="1470"/>
      <c r="T719" s="1468">
        <v>100</v>
      </c>
      <c r="U719" s="1469"/>
      <c r="V719" s="1469"/>
      <c r="W719" s="1470"/>
      <c r="X719" s="1358">
        <f t="shared" si="8"/>
        <v>1854</v>
      </c>
      <c r="Y719" s="1359"/>
      <c r="Z719" s="1359"/>
      <c r="AA719" s="1359"/>
      <c r="AB719" s="1360"/>
      <c r="AC719" s="1613">
        <v>0.5</v>
      </c>
      <c r="AD719" s="1614"/>
      <c r="AE719" s="1614"/>
      <c r="AF719" s="1614"/>
      <c r="AG719" s="1615"/>
      <c r="AH719" s="1361">
        <f t="shared" ref="AH719:AH752" si="36">IF($AC719&gt;0,($X719/$AZ719), "")</f>
        <v>0.5</v>
      </c>
      <c r="AI719" s="1362"/>
      <c r="AJ719" s="1363"/>
      <c r="AK719" s="1355" t="s">
        <v>592</v>
      </c>
      <c r="AL719" s="1356"/>
      <c r="AM719" s="1356"/>
      <c r="AN719" s="1356"/>
      <c r="AO719" s="1357"/>
      <c r="AP719" s="3"/>
      <c r="AQ719" s="3"/>
      <c r="AR719" s="3"/>
      <c r="AS719" s="3"/>
      <c r="AZ719" s="118">
        <f t="shared" si="9"/>
        <v>3708</v>
      </c>
      <c r="BA719" s="3"/>
      <c r="BB719" s="3"/>
      <c r="BC719" s="3"/>
      <c r="BD719" s="3"/>
      <c r="BE719" s="204"/>
      <c r="BF719" s="294">
        <f t="shared" si="10"/>
        <v>5</v>
      </c>
      <c r="BG719" s="297">
        <f t="shared" si="11"/>
        <v>0.10204081632653061</v>
      </c>
      <c r="BH719" s="298">
        <f t="shared" si="12"/>
        <v>5.1020408163265307E-2</v>
      </c>
      <c r="BI719" s="3"/>
      <c r="BJ719" s="3"/>
      <c r="BK719" s="3"/>
      <c r="BL719" s="3"/>
      <c r="BM719" s="3"/>
      <c r="BN719" s="3"/>
      <c r="BS719" s="294">
        <f t="shared" si="13"/>
        <v>5</v>
      </c>
      <c r="BT719" s="297">
        <f t="shared" si="14"/>
        <v>0.10204081632653061</v>
      </c>
      <c r="BU719" s="298">
        <f t="shared" si="15"/>
        <v>5.1020408163265307E-2</v>
      </c>
      <c r="CC719" s="3"/>
      <c r="CD719" s="3"/>
      <c r="CE719" s="3"/>
      <c r="CF719" s="3"/>
      <c r="CG719" s="1351">
        <f t="shared" ref="CG719:CG752" si="37">IF(AND(AC719&lt;=0.5,AC719&gt;=0.36),1,0)</f>
        <v>1</v>
      </c>
      <c r="CH719" s="1353"/>
      <c r="CI719" s="1335">
        <f t="shared" ref="CI719:CI752" si="38">IF(CG719=1,G719,0)</f>
        <v>5</v>
      </c>
      <c r="CJ719" s="1337"/>
      <c r="CK719" s="1351">
        <f t="shared" si="16"/>
        <v>0</v>
      </c>
      <c r="CL719" s="1353"/>
      <c r="CM719" s="1335">
        <f t="shared" si="17"/>
        <v>0</v>
      </c>
      <c r="CN719" s="1337"/>
      <c r="CO719" s="3"/>
      <c r="CP719" s="1332">
        <f t="shared" si="18"/>
        <v>0</v>
      </c>
      <c r="CQ719" s="1333"/>
      <c r="CR719" s="1333"/>
      <c r="CS719" s="1333"/>
      <c r="CT719" s="1334"/>
      <c r="CU719" s="1354">
        <f t="shared" si="19"/>
        <v>5</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1754</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 customHeight="1">
      <c r="A720" s="4"/>
      <c r="B720" s="1355" t="s">
        <v>325</v>
      </c>
      <c r="C720" s="1356"/>
      <c r="D720" s="1356"/>
      <c r="E720" s="1356"/>
      <c r="F720" s="1357"/>
      <c r="G720" s="1364">
        <v>2</v>
      </c>
      <c r="H720" s="1365"/>
      <c r="I720" s="1365"/>
      <c r="J720" s="1366"/>
      <c r="K720" s="1604">
        <v>453</v>
      </c>
      <c r="L720" s="1605"/>
      <c r="M720" s="1605"/>
      <c r="N720" s="1606"/>
      <c r="O720" s="1468">
        <v>1383</v>
      </c>
      <c r="P720" s="1469"/>
      <c r="Q720" s="1469"/>
      <c r="R720" s="1469"/>
      <c r="S720" s="1470"/>
      <c r="T720" s="1468">
        <v>100</v>
      </c>
      <c r="U720" s="1469"/>
      <c r="V720" s="1469"/>
      <c r="W720" s="1470"/>
      <c r="X720" s="1358">
        <f t="shared" si="8"/>
        <v>1483</v>
      </c>
      <c r="Y720" s="1359"/>
      <c r="Z720" s="1359"/>
      <c r="AA720" s="1359"/>
      <c r="AB720" s="1360"/>
      <c r="AC720" s="1613">
        <v>0.4</v>
      </c>
      <c r="AD720" s="1614"/>
      <c r="AE720" s="1614"/>
      <c r="AF720" s="1614"/>
      <c r="AG720" s="1615"/>
      <c r="AH720" s="1361">
        <f t="shared" si="36"/>
        <v>0.39994606256742177</v>
      </c>
      <c r="AI720" s="1362"/>
      <c r="AJ720" s="1363"/>
      <c r="AK720" s="1355" t="s">
        <v>592</v>
      </c>
      <c r="AL720" s="1356"/>
      <c r="AM720" s="1356"/>
      <c r="AN720" s="1356"/>
      <c r="AO720" s="1357"/>
      <c r="AP720" s="3"/>
      <c r="AQ720" s="3"/>
      <c r="AR720" s="3"/>
      <c r="AS720" s="3"/>
      <c r="AZ720" s="118">
        <f t="shared" si="9"/>
        <v>3708</v>
      </c>
      <c r="BA720" s="3"/>
      <c r="BB720" s="3"/>
      <c r="BC720" s="3"/>
      <c r="BD720" s="3"/>
      <c r="BE720" s="204"/>
      <c r="BF720" s="294">
        <f t="shared" si="10"/>
        <v>2</v>
      </c>
      <c r="BG720" s="297">
        <f t="shared" si="11"/>
        <v>4.0816326530612242E-2</v>
      </c>
      <c r="BH720" s="298">
        <f t="shared" si="12"/>
        <v>1.6326530612244896E-2</v>
      </c>
      <c r="BI720" s="3"/>
      <c r="BJ720" s="3"/>
      <c r="BK720" s="3"/>
      <c r="BL720" s="3"/>
      <c r="BM720" s="3"/>
      <c r="BN720" s="3"/>
      <c r="BS720" s="294">
        <f t="shared" si="13"/>
        <v>2</v>
      </c>
      <c r="BT720" s="297">
        <f t="shared" si="14"/>
        <v>4.0816326530612242E-2</v>
      </c>
      <c r="BU720" s="298">
        <f t="shared" si="15"/>
        <v>1.632432908438456E-2</v>
      </c>
      <c r="CC720" s="3"/>
      <c r="CD720" s="3"/>
      <c r="CE720" s="3"/>
      <c r="CF720" s="3"/>
      <c r="CG720" s="1351">
        <f t="shared" si="37"/>
        <v>1</v>
      </c>
      <c r="CH720" s="1353"/>
      <c r="CI720" s="1335">
        <f t="shared" si="38"/>
        <v>2</v>
      </c>
      <c r="CJ720" s="1337"/>
      <c r="CK720" s="1351">
        <f t="shared" si="16"/>
        <v>0</v>
      </c>
      <c r="CL720" s="1353"/>
      <c r="CM720" s="1335">
        <f t="shared" si="17"/>
        <v>0</v>
      </c>
      <c r="CN720" s="1337"/>
      <c r="CO720" s="3"/>
      <c r="CP720" s="1332">
        <f t="shared" si="18"/>
        <v>0</v>
      </c>
      <c r="CQ720" s="1333"/>
      <c r="CR720" s="1333"/>
      <c r="CS720" s="1333"/>
      <c r="CT720" s="1334"/>
      <c r="CU720" s="1354">
        <f t="shared" si="19"/>
        <v>2</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1383</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 customHeight="1">
      <c r="B721" s="1355" t="s">
        <v>325</v>
      </c>
      <c r="C721" s="1356"/>
      <c r="D721" s="1356"/>
      <c r="E721" s="1356"/>
      <c r="F721" s="1357"/>
      <c r="G721" s="1364">
        <v>1</v>
      </c>
      <c r="H721" s="1365"/>
      <c r="I721" s="1365"/>
      <c r="J721" s="1366"/>
      <c r="K721" s="1604">
        <v>453</v>
      </c>
      <c r="L721" s="1605"/>
      <c r="M721" s="1605"/>
      <c r="N721" s="1606"/>
      <c r="O721" s="1468">
        <v>1012</v>
      </c>
      <c r="P721" s="1469"/>
      <c r="Q721" s="1469"/>
      <c r="R721" s="1469"/>
      <c r="S721" s="1470"/>
      <c r="T721" s="1468">
        <v>100</v>
      </c>
      <c r="U721" s="1469"/>
      <c r="V721" s="1469"/>
      <c r="W721" s="1470"/>
      <c r="X721" s="1358">
        <f t="shared" si="8"/>
        <v>1112</v>
      </c>
      <c r="Y721" s="1359"/>
      <c r="Z721" s="1359"/>
      <c r="AA721" s="1359"/>
      <c r="AB721" s="1360"/>
      <c r="AC721" s="1613">
        <v>0.3</v>
      </c>
      <c r="AD721" s="1614"/>
      <c r="AE721" s="1614"/>
      <c r="AF721" s="1614"/>
      <c r="AG721" s="1615"/>
      <c r="AH721" s="1361">
        <f t="shared" si="36"/>
        <v>0.29989212513484359</v>
      </c>
      <c r="AI721" s="1362"/>
      <c r="AJ721" s="1363"/>
      <c r="AK721" s="1355" t="s">
        <v>592</v>
      </c>
      <c r="AL721" s="1356"/>
      <c r="AM721" s="1356"/>
      <c r="AN721" s="1356"/>
      <c r="AO721" s="1357"/>
      <c r="AP721" s="3"/>
      <c r="AQ721" s="3"/>
      <c r="AR721" s="3"/>
      <c r="AS721" s="3"/>
      <c r="AY721" s="116"/>
      <c r="AZ721" s="118">
        <f t="shared" si="9"/>
        <v>3708</v>
      </c>
      <c r="BA721" s="3"/>
      <c r="BB721" s="3"/>
      <c r="BC721" s="3"/>
      <c r="BD721" s="3"/>
      <c r="BE721" s="204"/>
      <c r="BF721" s="294">
        <f t="shared" si="10"/>
        <v>1</v>
      </c>
      <c r="BG721" s="297">
        <f t="shared" si="11"/>
        <v>2.0408163265306121E-2</v>
      </c>
      <c r="BH721" s="298">
        <f t="shared" si="12"/>
        <v>6.1224489795918364E-3</v>
      </c>
      <c r="BI721" s="3"/>
      <c r="BJ721" s="3"/>
      <c r="BK721" s="3"/>
      <c r="BL721" s="3"/>
      <c r="BM721" s="3"/>
      <c r="BN721" s="3"/>
      <c r="BS721" s="294">
        <f t="shared" si="13"/>
        <v>1</v>
      </c>
      <c r="BT721" s="297">
        <f t="shared" si="14"/>
        <v>2.0408163265306121E-2</v>
      </c>
      <c r="BU721" s="298">
        <f t="shared" si="15"/>
        <v>6.1202474517315017E-3</v>
      </c>
      <c r="CC721" s="3"/>
      <c r="CD721" s="3"/>
      <c r="CE721" s="3"/>
      <c r="CF721" s="3"/>
      <c r="CG721" s="1351">
        <f t="shared" si="37"/>
        <v>0</v>
      </c>
      <c r="CH721" s="1353"/>
      <c r="CI721" s="1335">
        <f t="shared" si="38"/>
        <v>0</v>
      </c>
      <c r="CJ721" s="1337"/>
      <c r="CK721" s="1351">
        <f t="shared" si="16"/>
        <v>1</v>
      </c>
      <c r="CL721" s="1353"/>
      <c r="CM721" s="1335">
        <f t="shared" si="17"/>
        <v>1</v>
      </c>
      <c r="CN721" s="1337"/>
      <c r="CO721" s="3"/>
      <c r="CP721" s="1332">
        <f t="shared" si="18"/>
        <v>0</v>
      </c>
      <c r="CQ721" s="1333"/>
      <c r="CR721" s="1333"/>
      <c r="CS721" s="1333"/>
      <c r="CT721" s="1334"/>
      <c r="CU721" s="1354">
        <f t="shared" si="19"/>
        <v>1</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1</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1012</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 customHeight="1">
      <c r="B722" s="1355" t="s">
        <v>163</v>
      </c>
      <c r="C722" s="1356"/>
      <c r="D722" s="1356"/>
      <c r="E722" s="1356"/>
      <c r="F722" s="1357"/>
      <c r="G722" s="1364">
        <v>2</v>
      </c>
      <c r="H722" s="1365"/>
      <c r="I722" s="1365"/>
      <c r="J722" s="1366"/>
      <c r="K722" s="1604">
        <v>725</v>
      </c>
      <c r="L722" s="1605"/>
      <c r="M722" s="1605"/>
      <c r="N722" s="1606"/>
      <c r="O722" s="1468">
        <v>2533</v>
      </c>
      <c r="P722" s="1469"/>
      <c r="Q722" s="1469"/>
      <c r="R722" s="1469"/>
      <c r="S722" s="1470"/>
      <c r="T722" s="1468">
        <v>137</v>
      </c>
      <c r="U722" s="1469"/>
      <c r="V722" s="1469"/>
      <c r="W722" s="1470"/>
      <c r="X722" s="1358">
        <f t="shared" si="8"/>
        <v>2670</v>
      </c>
      <c r="Y722" s="1359"/>
      <c r="Z722" s="1359"/>
      <c r="AA722" s="1359"/>
      <c r="AB722" s="1360"/>
      <c r="AC722" s="1613">
        <v>0.6</v>
      </c>
      <c r="AD722" s="1614"/>
      <c r="AE722" s="1614"/>
      <c r="AF722" s="1614"/>
      <c r="AG722" s="1615"/>
      <c r="AH722" s="1361">
        <f t="shared" si="36"/>
        <v>0.6</v>
      </c>
      <c r="AI722" s="1362"/>
      <c r="AJ722" s="1363"/>
      <c r="AK722" s="1355" t="s">
        <v>592</v>
      </c>
      <c r="AL722" s="1356"/>
      <c r="AM722" s="1356"/>
      <c r="AN722" s="1356"/>
      <c r="AO722" s="1357"/>
      <c r="AP722" s="3"/>
      <c r="AQ722" s="3"/>
      <c r="AR722" s="3"/>
      <c r="AS722" s="3"/>
      <c r="AY722" s="116"/>
      <c r="AZ722" s="118">
        <f t="shared" si="9"/>
        <v>4450</v>
      </c>
      <c r="BA722" s="3"/>
      <c r="BB722" s="3"/>
      <c r="BC722" s="3"/>
      <c r="BD722" s="3"/>
      <c r="BE722" s="204"/>
      <c r="BF722" s="294">
        <f t="shared" si="10"/>
        <v>2</v>
      </c>
      <c r="BG722" s="297">
        <f t="shared" si="11"/>
        <v>4.0816326530612242E-2</v>
      </c>
      <c r="BH722" s="298">
        <f t="shared" si="12"/>
        <v>2.4489795918367346E-2</v>
      </c>
      <c r="BI722" s="3"/>
      <c r="BJ722" s="3"/>
      <c r="BK722" s="3"/>
      <c r="BL722" s="3"/>
      <c r="BM722" s="3"/>
      <c r="BN722" s="3"/>
      <c r="BS722" s="294">
        <f t="shared" si="13"/>
        <v>2</v>
      </c>
      <c r="BT722" s="297">
        <f t="shared" si="14"/>
        <v>4.0816326530612242E-2</v>
      </c>
      <c r="BU722" s="298">
        <f t="shared" si="15"/>
        <v>2.4489795918367346E-2</v>
      </c>
      <c r="CC722" s="3"/>
      <c r="CD722" s="3"/>
      <c r="CE722" s="3"/>
      <c r="CF722" s="3"/>
      <c r="CG722" s="1351">
        <f t="shared" si="37"/>
        <v>0</v>
      </c>
      <c r="CH722" s="1353"/>
      <c r="CI722" s="1335">
        <f t="shared" si="38"/>
        <v>0</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2</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2533</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 customHeight="1">
      <c r="B723" s="1355" t="s">
        <v>163</v>
      </c>
      <c r="C723" s="1356"/>
      <c r="D723" s="1356"/>
      <c r="E723" s="1356"/>
      <c r="F723" s="1357"/>
      <c r="G723" s="1364">
        <v>4</v>
      </c>
      <c r="H723" s="1365"/>
      <c r="I723" s="1365"/>
      <c r="J723" s="1366"/>
      <c r="K723" s="1604">
        <v>725</v>
      </c>
      <c r="L723" s="1605"/>
      <c r="M723" s="1605"/>
      <c r="N723" s="1606"/>
      <c r="O723" s="1468">
        <v>2088</v>
      </c>
      <c r="P723" s="1469"/>
      <c r="Q723" s="1469"/>
      <c r="R723" s="1469"/>
      <c r="S723" s="1470"/>
      <c r="T723" s="1468">
        <v>137</v>
      </c>
      <c r="U723" s="1469"/>
      <c r="V723" s="1469"/>
      <c r="W723" s="1470"/>
      <c r="X723" s="1358">
        <f t="shared" si="8"/>
        <v>2225</v>
      </c>
      <c r="Y723" s="1359"/>
      <c r="Z723" s="1359"/>
      <c r="AA723" s="1359"/>
      <c r="AB723" s="1360"/>
      <c r="AC723" s="1613">
        <v>0.5</v>
      </c>
      <c r="AD723" s="1614"/>
      <c r="AE723" s="1614"/>
      <c r="AF723" s="1614"/>
      <c r="AG723" s="1615"/>
      <c r="AH723" s="1361">
        <f t="shared" si="36"/>
        <v>0.5</v>
      </c>
      <c r="AI723" s="1362"/>
      <c r="AJ723" s="1363"/>
      <c r="AK723" s="1355" t="s">
        <v>592</v>
      </c>
      <c r="AL723" s="1356"/>
      <c r="AM723" s="1356"/>
      <c r="AN723" s="1356"/>
      <c r="AO723" s="1357"/>
      <c r="AP723" s="3"/>
      <c r="AQ723" s="3"/>
      <c r="AR723" s="3"/>
      <c r="AS723" s="3"/>
      <c r="AY723" s="116"/>
      <c r="AZ723" s="118">
        <f t="shared" si="9"/>
        <v>4450</v>
      </c>
      <c r="BA723" s="3"/>
      <c r="BB723" s="3"/>
      <c r="BC723" s="3"/>
      <c r="BD723" s="3"/>
      <c r="BE723" s="204"/>
      <c r="BF723" s="294">
        <f t="shared" si="10"/>
        <v>4</v>
      </c>
      <c r="BG723" s="297">
        <f t="shared" si="11"/>
        <v>8.1632653061224483E-2</v>
      </c>
      <c r="BH723" s="298">
        <f t="shared" si="12"/>
        <v>4.0816326530612242E-2</v>
      </c>
      <c r="BI723" s="3"/>
      <c r="BJ723" s="3"/>
      <c r="BK723" s="3"/>
      <c r="BL723" s="3"/>
      <c r="BM723" s="3"/>
      <c r="BN723" s="3"/>
      <c r="BS723" s="294">
        <f t="shared" si="13"/>
        <v>4</v>
      </c>
      <c r="BT723" s="297">
        <f t="shared" si="14"/>
        <v>8.1632653061224483E-2</v>
      </c>
      <c r="BU723" s="298">
        <f t="shared" si="15"/>
        <v>4.0816326530612242E-2</v>
      </c>
      <c r="CC723" s="3"/>
      <c r="CD723" s="3"/>
      <c r="CE723" s="3"/>
      <c r="CF723" s="3"/>
      <c r="CG723" s="1351">
        <f t="shared" si="37"/>
        <v>1</v>
      </c>
      <c r="CH723" s="1353"/>
      <c r="CI723" s="1335">
        <f t="shared" si="38"/>
        <v>4</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4</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2088</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 customHeight="1">
      <c r="B724" s="1355" t="s">
        <v>163</v>
      </c>
      <c r="C724" s="1356"/>
      <c r="D724" s="1356"/>
      <c r="E724" s="1356"/>
      <c r="F724" s="1357"/>
      <c r="G724" s="1364">
        <v>1</v>
      </c>
      <c r="H724" s="1365"/>
      <c r="I724" s="1365"/>
      <c r="J724" s="1366"/>
      <c r="K724" s="1604">
        <v>725</v>
      </c>
      <c r="L724" s="1605"/>
      <c r="M724" s="1605"/>
      <c r="N724" s="1606"/>
      <c r="O724" s="1468">
        <v>1643</v>
      </c>
      <c r="P724" s="1469"/>
      <c r="Q724" s="1469"/>
      <c r="R724" s="1469"/>
      <c r="S724" s="1470"/>
      <c r="T724" s="1468">
        <v>137</v>
      </c>
      <c r="U724" s="1469"/>
      <c r="V724" s="1469"/>
      <c r="W724" s="1470"/>
      <c r="X724" s="1358">
        <f t="shared" si="8"/>
        <v>1780</v>
      </c>
      <c r="Y724" s="1359"/>
      <c r="Z724" s="1359"/>
      <c r="AA724" s="1359"/>
      <c r="AB724" s="1360"/>
      <c r="AC724" s="1613">
        <v>0.4</v>
      </c>
      <c r="AD724" s="1614"/>
      <c r="AE724" s="1614"/>
      <c r="AF724" s="1614"/>
      <c r="AG724" s="1615"/>
      <c r="AH724" s="1361">
        <f t="shared" si="36"/>
        <v>0.4</v>
      </c>
      <c r="AI724" s="1362"/>
      <c r="AJ724" s="1363"/>
      <c r="AK724" s="1355" t="s">
        <v>592</v>
      </c>
      <c r="AL724" s="1356"/>
      <c r="AM724" s="1356"/>
      <c r="AN724" s="1356"/>
      <c r="AO724" s="1357"/>
      <c r="AP724" s="3"/>
      <c r="AQ724" s="3"/>
      <c r="AR724" s="3"/>
      <c r="AS724" s="3"/>
      <c r="AY724" s="116"/>
      <c r="AZ724" s="118">
        <f t="shared" si="9"/>
        <v>4450</v>
      </c>
      <c r="BA724" s="3"/>
      <c r="BB724" s="3"/>
      <c r="BC724" s="3"/>
      <c r="BD724" s="3"/>
      <c r="BE724" s="204"/>
      <c r="BF724" s="294">
        <f t="shared" si="10"/>
        <v>1</v>
      </c>
      <c r="BG724" s="297">
        <f t="shared" si="11"/>
        <v>2.0408163265306121E-2</v>
      </c>
      <c r="BH724" s="298">
        <f t="shared" si="12"/>
        <v>8.163265306122448E-3</v>
      </c>
      <c r="BI724" s="3"/>
      <c r="BJ724" s="3"/>
      <c r="BK724" s="3"/>
      <c r="BL724" s="3"/>
      <c r="BM724" s="3"/>
      <c r="BN724" s="3"/>
      <c r="BS724" s="294">
        <f t="shared" si="13"/>
        <v>1</v>
      </c>
      <c r="BT724" s="297">
        <f t="shared" si="14"/>
        <v>2.0408163265306121E-2</v>
      </c>
      <c r="BU724" s="298">
        <f t="shared" si="15"/>
        <v>8.163265306122448E-3</v>
      </c>
      <c r="CC724" s="3"/>
      <c r="CE724" s="3"/>
      <c r="CF724" s="3"/>
      <c r="CG724" s="1351">
        <f t="shared" si="37"/>
        <v>1</v>
      </c>
      <c r="CH724" s="1353"/>
      <c r="CI724" s="1335">
        <f t="shared" si="38"/>
        <v>1</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1</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1643</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 customHeight="1">
      <c r="B725" s="1355" t="s">
        <v>163</v>
      </c>
      <c r="C725" s="1356"/>
      <c r="D725" s="1356"/>
      <c r="E725" s="1356"/>
      <c r="F725" s="1357"/>
      <c r="G725" s="1364">
        <v>1</v>
      </c>
      <c r="H725" s="1365"/>
      <c r="I725" s="1365"/>
      <c r="J725" s="1366"/>
      <c r="K725" s="1604">
        <v>725</v>
      </c>
      <c r="L725" s="1605"/>
      <c r="M725" s="1605"/>
      <c r="N725" s="1606"/>
      <c r="O725" s="1468">
        <v>1198</v>
      </c>
      <c r="P725" s="1469"/>
      <c r="Q725" s="1469"/>
      <c r="R725" s="1469"/>
      <c r="S725" s="1470"/>
      <c r="T725" s="1468">
        <v>137</v>
      </c>
      <c r="U725" s="1469"/>
      <c r="V725" s="1469"/>
      <c r="W725" s="1470"/>
      <c r="X725" s="1358">
        <f t="shared" si="8"/>
        <v>1335</v>
      </c>
      <c r="Y725" s="1359"/>
      <c r="Z725" s="1359"/>
      <c r="AA725" s="1359"/>
      <c r="AB725" s="1360"/>
      <c r="AC725" s="1613">
        <v>0.3</v>
      </c>
      <c r="AD725" s="1614"/>
      <c r="AE725" s="1614"/>
      <c r="AF725" s="1614"/>
      <c r="AG725" s="1615"/>
      <c r="AH725" s="1361">
        <f t="shared" si="36"/>
        <v>0.3</v>
      </c>
      <c r="AI725" s="1362"/>
      <c r="AJ725" s="1363"/>
      <c r="AK725" s="1355" t="s">
        <v>592</v>
      </c>
      <c r="AL725" s="1356"/>
      <c r="AM725" s="1356"/>
      <c r="AN725" s="1356"/>
      <c r="AO725" s="1357"/>
      <c r="AP725" s="3"/>
      <c r="AQ725" s="3"/>
      <c r="AR725" s="3"/>
      <c r="AS725" s="3"/>
      <c r="AY725" s="1085"/>
      <c r="AZ725" s="118">
        <f t="shared" si="9"/>
        <v>4450</v>
      </c>
      <c r="BA725" s="3"/>
      <c r="BB725" s="3"/>
      <c r="BC725" s="3"/>
      <c r="BD725" s="3"/>
      <c r="BE725" s="204"/>
      <c r="BF725" s="294">
        <f t="shared" si="10"/>
        <v>1</v>
      </c>
      <c r="BG725" s="297">
        <f t="shared" si="11"/>
        <v>2.0408163265306121E-2</v>
      </c>
      <c r="BH725" s="298">
        <f t="shared" si="12"/>
        <v>6.1224489795918364E-3</v>
      </c>
      <c r="BI725" s="3"/>
      <c r="BJ725" s="3"/>
      <c r="BK725" s="3"/>
      <c r="BL725" s="3"/>
      <c r="BM725" s="3"/>
      <c r="BN725" s="3"/>
      <c r="BS725" s="294">
        <f t="shared" si="13"/>
        <v>1</v>
      </c>
      <c r="BT725" s="297">
        <f t="shared" si="14"/>
        <v>2.0408163265306121E-2</v>
      </c>
      <c r="BU725" s="298">
        <f t="shared" si="15"/>
        <v>6.1224489795918364E-3</v>
      </c>
      <c r="BV725" s="292"/>
      <c r="BW725" s="3"/>
      <c r="BX725" s="3"/>
      <c r="BY725" s="3"/>
      <c r="BZ725" s="3"/>
      <c r="CA725" s="3"/>
      <c r="CB725" s="3"/>
      <c r="CC725" s="3"/>
      <c r="CE725" s="3"/>
      <c r="CF725" s="3"/>
      <c r="CG725" s="1351">
        <f t="shared" si="37"/>
        <v>0</v>
      </c>
      <c r="CH725" s="1353"/>
      <c r="CI725" s="1335">
        <f t="shared" si="38"/>
        <v>0</v>
      </c>
      <c r="CJ725" s="1337"/>
      <c r="CK725" s="1351">
        <f t="shared" si="16"/>
        <v>1</v>
      </c>
      <c r="CL725" s="1353"/>
      <c r="CM725" s="1335">
        <f t="shared" si="17"/>
        <v>1</v>
      </c>
      <c r="CN725" s="1337"/>
      <c r="CO725" s="3"/>
      <c r="CP725" s="1332">
        <f t="shared" si="18"/>
        <v>0</v>
      </c>
      <c r="CQ725" s="1333"/>
      <c r="CR725" s="1333"/>
      <c r="CS725" s="1333"/>
      <c r="CT725" s="1334"/>
      <c r="CU725" s="1354">
        <f t="shared" si="19"/>
        <v>0</v>
      </c>
      <c r="CV725" s="1354"/>
      <c r="CW725" s="1354"/>
      <c r="CX725" s="1354"/>
      <c r="CY725" s="1354"/>
      <c r="CZ725" s="1354">
        <f t="shared" si="20"/>
        <v>1</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1</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1198</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 customHeight="1">
      <c r="B726" s="1355" t="s">
        <v>164</v>
      </c>
      <c r="C726" s="1356"/>
      <c r="D726" s="1356"/>
      <c r="E726" s="1356"/>
      <c r="F726" s="1357"/>
      <c r="G726" s="1364">
        <v>2</v>
      </c>
      <c r="H726" s="1365"/>
      <c r="I726" s="1365"/>
      <c r="J726" s="1366"/>
      <c r="K726" s="1604">
        <v>902</v>
      </c>
      <c r="L726" s="1605"/>
      <c r="M726" s="1605"/>
      <c r="N726" s="1606"/>
      <c r="O726" s="1468">
        <v>2908</v>
      </c>
      <c r="P726" s="1469"/>
      <c r="Q726" s="1469"/>
      <c r="R726" s="1469"/>
      <c r="S726" s="1470"/>
      <c r="T726" s="1468">
        <v>177</v>
      </c>
      <c r="U726" s="1469"/>
      <c r="V726" s="1469"/>
      <c r="W726" s="1470"/>
      <c r="X726" s="1358">
        <f t="shared" si="8"/>
        <v>3085</v>
      </c>
      <c r="Y726" s="1359"/>
      <c r="Z726" s="1359"/>
      <c r="AA726" s="1359"/>
      <c r="AB726" s="1360"/>
      <c r="AC726" s="1613">
        <v>0.6</v>
      </c>
      <c r="AD726" s="1614"/>
      <c r="AE726" s="1614"/>
      <c r="AF726" s="1614"/>
      <c r="AG726" s="1615"/>
      <c r="AH726" s="1361">
        <f t="shared" si="36"/>
        <v>0.59996110462854924</v>
      </c>
      <c r="AI726" s="1362"/>
      <c r="AJ726" s="1363"/>
      <c r="AK726" s="1355" t="s">
        <v>592</v>
      </c>
      <c r="AL726" s="1356"/>
      <c r="AM726" s="1356"/>
      <c r="AN726" s="1356"/>
      <c r="AO726" s="1357"/>
      <c r="AP726" s="3"/>
      <c r="AQ726" s="3"/>
      <c r="AR726" s="3"/>
      <c r="AS726" s="3"/>
      <c r="AY726" s="1085"/>
      <c r="AZ726" s="118">
        <f t="shared" si="9"/>
        <v>5142</v>
      </c>
      <c r="BA726" s="3"/>
      <c r="BB726" s="3"/>
      <c r="BC726" s="3"/>
      <c r="BD726" s="3"/>
      <c r="BE726" s="204"/>
      <c r="BF726" s="294">
        <f t="shared" si="10"/>
        <v>2</v>
      </c>
      <c r="BG726" s="297">
        <f t="shared" si="11"/>
        <v>4.0816326530612242E-2</v>
      </c>
      <c r="BH726" s="298">
        <f t="shared" si="12"/>
        <v>2.4489795918367346E-2</v>
      </c>
      <c r="BI726" s="3"/>
      <c r="BJ726" s="3"/>
      <c r="BK726" s="3"/>
      <c r="BL726" s="3"/>
      <c r="BM726" s="3"/>
      <c r="BN726" s="3"/>
      <c r="BS726" s="294">
        <f t="shared" si="13"/>
        <v>2</v>
      </c>
      <c r="BT726" s="297">
        <f t="shared" si="14"/>
        <v>4.0816326530612242E-2</v>
      </c>
      <c r="BU726" s="298">
        <f t="shared" si="15"/>
        <v>2.4488208352185681E-2</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2</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2908</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 customHeight="1">
      <c r="A727" s="4"/>
      <c r="B727" s="1355" t="s">
        <v>164</v>
      </c>
      <c r="C727" s="1356"/>
      <c r="D727" s="1356"/>
      <c r="E727" s="1356"/>
      <c r="F727" s="1357"/>
      <c r="G727" s="1364">
        <v>5</v>
      </c>
      <c r="H727" s="1365"/>
      <c r="I727" s="1365"/>
      <c r="J727" s="1366"/>
      <c r="K727" s="1604">
        <v>902</v>
      </c>
      <c r="L727" s="1605"/>
      <c r="M727" s="1605"/>
      <c r="N727" s="1606"/>
      <c r="O727" s="1468">
        <v>2394</v>
      </c>
      <c r="P727" s="1469"/>
      <c r="Q727" s="1469"/>
      <c r="R727" s="1469"/>
      <c r="S727" s="1470"/>
      <c r="T727" s="1468">
        <v>177</v>
      </c>
      <c r="U727" s="1469"/>
      <c r="V727" s="1469"/>
      <c r="W727" s="1470"/>
      <c r="X727" s="1358">
        <f t="shared" si="8"/>
        <v>2571</v>
      </c>
      <c r="Y727" s="1359"/>
      <c r="Z727" s="1359"/>
      <c r="AA727" s="1359"/>
      <c r="AB727" s="1360"/>
      <c r="AC727" s="1613">
        <v>0.5</v>
      </c>
      <c r="AD727" s="1614"/>
      <c r="AE727" s="1614"/>
      <c r="AF727" s="1614"/>
      <c r="AG727" s="1615"/>
      <c r="AH727" s="1361">
        <f t="shared" si="36"/>
        <v>0.5</v>
      </c>
      <c r="AI727" s="1362"/>
      <c r="AJ727" s="1363"/>
      <c r="AK727" s="1355" t="s">
        <v>592</v>
      </c>
      <c r="AL727" s="1356"/>
      <c r="AM727" s="1356"/>
      <c r="AN727" s="1356"/>
      <c r="AO727" s="1357"/>
      <c r="AP727" s="3"/>
      <c r="AQ727" s="3"/>
      <c r="AR727" s="3"/>
      <c r="AS727" s="3"/>
      <c r="AY727" s="1085"/>
      <c r="AZ727" s="118">
        <f t="shared" si="9"/>
        <v>5142</v>
      </c>
      <c r="BA727" s="3"/>
      <c r="BB727" s="3"/>
      <c r="BC727" s="3"/>
      <c r="BD727" s="3"/>
      <c r="BE727" s="204"/>
      <c r="BF727" s="294">
        <f t="shared" si="10"/>
        <v>5</v>
      </c>
      <c r="BG727" s="297">
        <f t="shared" si="11"/>
        <v>0.10204081632653061</v>
      </c>
      <c r="BH727" s="298">
        <f t="shared" si="12"/>
        <v>5.1020408163265307E-2</v>
      </c>
      <c r="BI727" s="3"/>
      <c r="BJ727" s="3"/>
      <c r="BK727" s="3"/>
      <c r="BL727" s="3"/>
      <c r="BM727" s="3"/>
      <c r="BN727" s="3"/>
      <c r="BS727" s="294">
        <f t="shared" si="13"/>
        <v>5</v>
      </c>
      <c r="BT727" s="297">
        <f t="shared" si="14"/>
        <v>0.10204081632653061</v>
      </c>
      <c r="BU727" s="298">
        <f t="shared" si="15"/>
        <v>5.1020408163265307E-2</v>
      </c>
      <c r="BV727" s="3"/>
      <c r="BW727" s="3"/>
      <c r="BX727" s="3"/>
      <c r="BY727" s="3"/>
      <c r="BZ727" s="3"/>
      <c r="CA727" s="3"/>
      <c r="CB727" s="3"/>
      <c r="CC727" s="3"/>
      <c r="CE727" s="3"/>
      <c r="CF727" s="3"/>
      <c r="CG727" s="1351">
        <f t="shared" si="37"/>
        <v>1</v>
      </c>
      <c r="CH727" s="1353"/>
      <c r="CI727" s="1335">
        <f t="shared" si="38"/>
        <v>5</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5</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2394</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 customHeight="1">
      <c r="A728" s="4"/>
      <c r="B728" s="1355" t="s">
        <v>164</v>
      </c>
      <c r="C728" s="1356"/>
      <c r="D728" s="1356"/>
      <c r="E728" s="1356"/>
      <c r="F728" s="1357"/>
      <c r="G728" s="1364">
        <v>1</v>
      </c>
      <c r="H728" s="1365"/>
      <c r="I728" s="1365"/>
      <c r="J728" s="1366"/>
      <c r="K728" s="1604">
        <v>902</v>
      </c>
      <c r="L728" s="1605"/>
      <c r="M728" s="1605"/>
      <c r="N728" s="1606"/>
      <c r="O728" s="1468">
        <v>1880</v>
      </c>
      <c r="P728" s="1469"/>
      <c r="Q728" s="1469"/>
      <c r="R728" s="1469"/>
      <c r="S728" s="1470"/>
      <c r="T728" s="1468">
        <v>177</v>
      </c>
      <c r="U728" s="1469"/>
      <c r="V728" s="1469"/>
      <c r="W728" s="1470"/>
      <c r="X728" s="1358">
        <f t="shared" si="8"/>
        <v>2057</v>
      </c>
      <c r="Y728" s="1359"/>
      <c r="Z728" s="1359"/>
      <c r="AA728" s="1359"/>
      <c r="AB728" s="1360"/>
      <c r="AC728" s="1613">
        <v>0.4</v>
      </c>
      <c r="AD728" s="1614"/>
      <c r="AE728" s="1614"/>
      <c r="AF728" s="1614"/>
      <c r="AG728" s="1615"/>
      <c r="AH728" s="1361">
        <f t="shared" si="36"/>
        <v>0.40003889537145082</v>
      </c>
      <c r="AI728" s="1362"/>
      <c r="AJ728" s="1363"/>
      <c r="AK728" s="1355" t="s">
        <v>592</v>
      </c>
      <c r="AL728" s="1356"/>
      <c r="AM728" s="1356"/>
      <c r="AN728" s="1356"/>
      <c r="AO728" s="1357"/>
      <c r="AP728" s="3"/>
      <c r="AQ728" s="3"/>
      <c r="AR728" s="3"/>
      <c r="AS728" s="3"/>
      <c r="AY728" s="1085"/>
      <c r="AZ728" s="118">
        <f t="shared" si="9"/>
        <v>5142</v>
      </c>
      <c r="BA728" s="3"/>
      <c r="BB728" s="3"/>
      <c r="BC728" s="3"/>
      <c r="BD728" s="3"/>
      <c r="BE728" s="204"/>
      <c r="BF728" s="294">
        <f t="shared" si="10"/>
        <v>1</v>
      </c>
      <c r="BG728" s="297">
        <f t="shared" si="11"/>
        <v>2.0408163265306121E-2</v>
      </c>
      <c r="BH728" s="298">
        <f t="shared" si="12"/>
        <v>8.163265306122448E-3</v>
      </c>
      <c r="BI728" s="3"/>
      <c r="BJ728" s="3"/>
      <c r="BK728" s="3"/>
      <c r="BL728" s="3"/>
      <c r="BM728" s="3"/>
      <c r="BN728" s="3"/>
      <c r="BS728" s="294">
        <f t="shared" si="13"/>
        <v>1</v>
      </c>
      <c r="BT728" s="297">
        <f t="shared" si="14"/>
        <v>2.0408163265306121E-2</v>
      </c>
      <c r="BU728" s="298">
        <f t="shared" si="15"/>
        <v>8.1640590892132821E-3</v>
      </c>
      <c r="BV728" s="3"/>
      <c r="BW728" s="3"/>
      <c r="BX728" s="3"/>
      <c r="BY728" s="3"/>
      <c r="BZ728" s="3"/>
      <c r="CA728" s="3"/>
      <c r="CB728" s="3"/>
      <c r="CC728" s="3"/>
      <c r="CE728" s="3"/>
      <c r="CF728" s="3"/>
      <c r="CG728" s="1351">
        <f t="shared" si="37"/>
        <v>1</v>
      </c>
      <c r="CH728" s="1353"/>
      <c r="CI728" s="1335">
        <f t="shared" si="38"/>
        <v>1</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1</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1880</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 customHeight="1">
      <c r="A729" s="4"/>
      <c r="B729" s="1355" t="s">
        <v>164</v>
      </c>
      <c r="C729" s="1356"/>
      <c r="D729" s="1356"/>
      <c r="E729" s="1356"/>
      <c r="F729" s="1357"/>
      <c r="G729" s="1364">
        <v>1</v>
      </c>
      <c r="H729" s="1365"/>
      <c r="I729" s="1365"/>
      <c r="J729" s="1366"/>
      <c r="K729" s="1604">
        <v>902</v>
      </c>
      <c r="L729" s="1605"/>
      <c r="M729" s="1605"/>
      <c r="N729" s="1606"/>
      <c r="O729" s="1468">
        <v>1365</v>
      </c>
      <c r="P729" s="1469"/>
      <c r="Q729" s="1469"/>
      <c r="R729" s="1469"/>
      <c r="S729" s="1470"/>
      <c r="T729" s="1468">
        <v>177</v>
      </c>
      <c r="U729" s="1469"/>
      <c r="V729" s="1469"/>
      <c r="W729" s="1470"/>
      <c r="X729" s="1358">
        <f t="shared" si="8"/>
        <v>1542</v>
      </c>
      <c r="Y729" s="1359"/>
      <c r="Z729" s="1359"/>
      <c r="AA729" s="1359"/>
      <c r="AB729" s="1360"/>
      <c r="AC729" s="1613">
        <v>0.3</v>
      </c>
      <c r="AD729" s="1614"/>
      <c r="AE729" s="1614"/>
      <c r="AF729" s="1614"/>
      <c r="AG729" s="1615"/>
      <c r="AH729" s="1361">
        <f t="shared" si="36"/>
        <v>0.2998833138856476</v>
      </c>
      <c r="AI729" s="1362"/>
      <c r="AJ729" s="1363"/>
      <c r="AK729" s="1355" t="s">
        <v>592</v>
      </c>
      <c r="AL729" s="1356"/>
      <c r="AM729" s="1356"/>
      <c r="AN729" s="1356"/>
      <c r="AO729" s="1357"/>
      <c r="AP729" s="3"/>
      <c r="AQ729" s="3"/>
      <c r="AR729" s="3"/>
      <c r="AS729" s="3"/>
      <c r="AY729" s="1085"/>
      <c r="AZ729" s="118">
        <f t="shared" si="9"/>
        <v>5142</v>
      </c>
      <c r="BA729" s="3"/>
      <c r="BB729" s="3"/>
      <c r="BC729" s="3"/>
      <c r="BD729" s="3"/>
      <c r="BE729" s="204"/>
      <c r="BF729" s="294">
        <f t="shared" si="10"/>
        <v>1</v>
      </c>
      <c r="BG729" s="297">
        <f t="shared" si="11"/>
        <v>2.0408163265306121E-2</v>
      </c>
      <c r="BH729" s="298">
        <f t="shared" si="12"/>
        <v>6.1224489795918364E-3</v>
      </c>
      <c r="BI729" s="3"/>
      <c r="BJ729" s="3"/>
      <c r="BK729" s="3"/>
      <c r="BL729" s="3"/>
      <c r="BM729" s="3"/>
      <c r="BN729" s="3"/>
      <c r="BS729" s="294">
        <f t="shared" si="13"/>
        <v>1</v>
      </c>
      <c r="BT729" s="297">
        <f t="shared" si="14"/>
        <v>2.0408163265306121E-2</v>
      </c>
      <c r="BU729" s="298">
        <f t="shared" si="15"/>
        <v>6.1200676303193383E-3</v>
      </c>
      <c r="BV729" s="3"/>
      <c r="BW729" s="3"/>
      <c r="BX729" s="3"/>
      <c r="BY729" s="3"/>
      <c r="BZ729" s="3"/>
      <c r="CA729" s="3"/>
      <c r="CB729" s="3"/>
      <c r="CC729" s="3"/>
      <c r="CE729" s="3"/>
      <c r="CF729" s="3"/>
      <c r="CG729" s="1351">
        <f t="shared" si="37"/>
        <v>0</v>
      </c>
      <c r="CH729" s="1353"/>
      <c r="CI729" s="1335">
        <f t="shared" si="38"/>
        <v>0</v>
      </c>
      <c r="CJ729" s="1337"/>
      <c r="CK729" s="1351">
        <f t="shared" si="16"/>
        <v>1</v>
      </c>
      <c r="CL729" s="1353"/>
      <c r="CM729" s="1335">
        <f t="shared" si="17"/>
        <v>1</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1</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1</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1365</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 customHeight="1">
      <c r="B730" s="1355" t="s">
        <v>325</v>
      </c>
      <c r="C730" s="1356"/>
      <c r="D730" s="1356"/>
      <c r="E730" s="1356"/>
      <c r="F730" s="1357"/>
      <c r="G730" s="1364">
        <v>1</v>
      </c>
      <c r="H730" s="1365"/>
      <c r="I730" s="1365"/>
      <c r="J730" s="1366"/>
      <c r="K730" s="1604">
        <v>453</v>
      </c>
      <c r="L730" s="1605"/>
      <c r="M730" s="1605"/>
      <c r="N730" s="1606"/>
      <c r="O730" s="1468">
        <v>1754</v>
      </c>
      <c r="P730" s="1469"/>
      <c r="Q730" s="1469"/>
      <c r="R730" s="1469"/>
      <c r="S730" s="1470"/>
      <c r="T730" s="1468">
        <v>100</v>
      </c>
      <c r="U730" s="1469"/>
      <c r="V730" s="1469"/>
      <c r="W730" s="1470"/>
      <c r="X730" s="1358">
        <f t="shared" si="8"/>
        <v>1854</v>
      </c>
      <c r="Y730" s="1359"/>
      <c r="Z730" s="1359"/>
      <c r="AA730" s="1359"/>
      <c r="AB730" s="1360"/>
      <c r="AC730" s="1613">
        <v>0.5</v>
      </c>
      <c r="AD730" s="1614"/>
      <c r="AE730" s="1614"/>
      <c r="AF730" s="1614"/>
      <c r="AG730" s="1615"/>
      <c r="AH730" s="1361">
        <f t="shared" si="36"/>
        <v>0.5</v>
      </c>
      <c r="AI730" s="1362"/>
      <c r="AJ730" s="1363"/>
      <c r="AK730" s="1355" t="s">
        <v>592</v>
      </c>
      <c r="AL730" s="1356"/>
      <c r="AM730" s="1356"/>
      <c r="AN730" s="1356"/>
      <c r="AO730" s="1357"/>
      <c r="AP730" s="3"/>
      <c r="AQ730" s="3"/>
      <c r="AR730" s="3"/>
      <c r="AS730" s="3"/>
      <c r="AY730" s="1085"/>
      <c r="AZ730" s="118">
        <f t="shared" si="9"/>
        <v>3708</v>
      </c>
      <c r="BA730" s="3"/>
      <c r="BB730" s="3"/>
      <c r="BC730" s="3"/>
      <c r="BD730" s="3"/>
      <c r="BE730" s="204"/>
      <c r="BF730" s="294">
        <f t="shared" si="10"/>
        <v>1</v>
      </c>
      <c r="BG730" s="297">
        <f t="shared" si="11"/>
        <v>2.0408163265306121E-2</v>
      </c>
      <c r="BH730" s="298">
        <f t="shared" si="12"/>
        <v>1.020408163265306E-2</v>
      </c>
      <c r="BI730" s="3"/>
      <c r="BJ730" s="3"/>
      <c r="BK730" s="3"/>
      <c r="BL730" s="3"/>
      <c r="BM730" s="3"/>
      <c r="BN730" s="3"/>
      <c r="BS730" s="294">
        <f t="shared" si="13"/>
        <v>1</v>
      </c>
      <c r="BT730" s="297">
        <f t="shared" si="14"/>
        <v>2.0408163265306121E-2</v>
      </c>
      <c r="BU730" s="298">
        <f t="shared" si="15"/>
        <v>1.020408163265306E-2</v>
      </c>
      <c r="BV730" s="3"/>
      <c r="BW730" s="3"/>
      <c r="BX730" s="3"/>
      <c r="BY730" s="3"/>
      <c r="BZ730" s="3"/>
      <c r="CA730" s="3"/>
      <c r="CB730" s="3"/>
      <c r="CC730" s="3"/>
      <c r="CE730" s="3"/>
      <c r="CF730" s="3"/>
      <c r="CG730" s="1351">
        <f t="shared" si="37"/>
        <v>1</v>
      </c>
      <c r="CH730" s="1353"/>
      <c r="CI730" s="1335">
        <f t="shared" si="38"/>
        <v>1</v>
      </c>
      <c r="CJ730" s="1337"/>
      <c r="CK730" s="1351">
        <f t="shared" si="16"/>
        <v>0</v>
      </c>
      <c r="CL730" s="1353"/>
      <c r="CM730" s="1335">
        <f t="shared" si="17"/>
        <v>0</v>
      </c>
      <c r="CN730" s="1337"/>
      <c r="CO730" s="3"/>
      <c r="CP730" s="1332">
        <f t="shared" si="18"/>
        <v>0</v>
      </c>
      <c r="CQ730" s="1333"/>
      <c r="CR730" s="1333"/>
      <c r="CS730" s="1333"/>
      <c r="CT730" s="1334"/>
      <c r="CU730" s="1354">
        <f t="shared" si="19"/>
        <v>1</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f t="shared" si="31"/>
        <v>1754</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 customHeight="1">
      <c r="B731" s="1355" t="s">
        <v>325</v>
      </c>
      <c r="C731" s="1356"/>
      <c r="D731" s="1356"/>
      <c r="E731" s="1356"/>
      <c r="F731" s="1357"/>
      <c r="G731" s="1364">
        <v>4</v>
      </c>
      <c r="H731" s="1365"/>
      <c r="I731" s="1365"/>
      <c r="J731" s="1366"/>
      <c r="K731" s="1604">
        <v>453</v>
      </c>
      <c r="L731" s="1605"/>
      <c r="M731" s="1605"/>
      <c r="N731" s="1606"/>
      <c r="O731" s="1468">
        <v>1383</v>
      </c>
      <c r="P731" s="1469"/>
      <c r="Q731" s="1469"/>
      <c r="R731" s="1469"/>
      <c r="S731" s="1470"/>
      <c r="T731" s="1468">
        <v>100</v>
      </c>
      <c r="U731" s="1469"/>
      <c r="V731" s="1469"/>
      <c r="W731" s="1470"/>
      <c r="X731" s="1358">
        <f t="shared" si="8"/>
        <v>1483</v>
      </c>
      <c r="Y731" s="1359"/>
      <c r="Z731" s="1359"/>
      <c r="AA731" s="1359"/>
      <c r="AB731" s="1360"/>
      <c r="AC731" s="1613">
        <v>0.4</v>
      </c>
      <c r="AD731" s="1614"/>
      <c r="AE731" s="1614"/>
      <c r="AF731" s="1614"/>
      <c r="AG731" s="1615"/>
      <c r="AH731" s="1361">
        <f t="shared" si="36"/>
        <v>0.39994606256742177</v>
      </c>
      <c r="AI731" s="1362"/>
      <c r="AJ731" s="1363"/>
      <c r="AK731" s="1355" t="s">
        <v>592</v>
      </c>
      <c r="AL731" s="1356"/>
      <c r="AM731" s="1356"/>
      <c r="AN731" s="1356"/>
      <c r="AO731" s="1357"/>
      <c r="AP731" s="3"/>
      <c r="AQ731" s="3"/>
      <c r="AR731" s="3"/>
      <c r="AS731" s="3"/>
      <c r="AY731" s="1085"/>
      <c r="AZ731" s="118">
        <f t="shared" si="9"/>
        <v>3708</v>
      </c>
      <c r="BA731" s="3"/>
      <c r="BB731" s="3"/>
      <c r="BC731" s="3"/>
      <c r="BD731" s="3"/>
      <c r="BE731" s="204"/>
      <c r="BF731" s="294">
        <f t="shared" si="10"/>
        <v>4</v>
      </c>
      <c r="BG731" s="297">
        <f t="shared" si="11"/>
        <v>8.1632653061224483E-2</v>
      </c>
      <c r="BH731" s="298">
        <f t="shared" si="12"/>
        <v>3.2653061224489792E-2</v>
      </c>
      <c r="BI731" s="3"/>
      <c r="BJ731" s="3"/>
      <c r="BK731" s="3"/>
      <c r="BL731" s="3"/>
      <c r="BM731" s="3"/>
      <c r="BN731" s="3"/>
      <c r="BS731" s="294">
        <f t="shared" si="13"/>
        <v>4</v>
      </c>
      <c r="BT731" s="297">
        <f t="shared" si="14"/>
        <v>8.1632653061224483E-2</v>
      </c>
      <c r="BU731" s="298">
        <f t="shared" si="15"/>
        <v>3.2648658168769121E-2</v>
      </c>
      <c r="BV731" s="3"/>
      <c r="BW731" s="3"/>
      <c r="BX731" s="3"/>
      <c r="BY731" s="3"/>
      <c r="BZ731" s="3"/>
      <c r="CA731" s="3"/>
      <c r="CB731" s="3"/>
      <c r="CC731" s="3"/>
      <c r="CE731" s="3"/>
      <c r="CF731" s="3"/>
      <c r="CG731" s="1351">
        <f t="shared" si="37"/>
        <v>1</v>
      </c>
      <c r="CH731" s="1353"/>
      <c r="CI731" s="1335">
        <f t="shared" si="38"/>
        <v>4</v>
      </c>
      <c r="CJ731" s="1337"/>
      <c r="CK731" s="1351">
        <f t="shared" si="16"/>
        <v>0</v>
      </c>
      <c r="CL731" s="1353"/>
      <c r="CM731" s="1335">
        <f t="shared" si="17"/>
        <v>0</v>
      </c>
      <c r="CN731" s="1337"/>
      <c r="CO731" s="3"/>
      <c r="CP731" s="1332">
        <f t="shared" si="18"/>
        <v>0</v>
      </c>
      <c r="CQ731" s="1333"/>
      <c r="CR731" s="1333"/>
      <c r="CS731" s="1333"/>
      <c r="CT731" s="1334"/>
      <c r="CU731" s="1354">
        <f t="shared" si="19"/>
        <v>4</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f t="shared" si="31"/>
        <v>1383</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 customHeight="1">
      <c r="B732" s="1355" t="s">
        <v>325</v>
      </c>
      <c r="C732" s="1356"/>
      <c r="D732" s="1356"/>
      <c r="E732" s="1356"/>
      <c r="F732" s="1357"/>
      <c r="G732" s="1364">
        <v>5</v>
      </c>
      <c r="H732" s="1365"/>
      <c r="I732" s="1365"/>
      <c r="J732" s="1366"/>
      <c r="K732" s="1604">
        <v>453</v>
      </c>
      <c r="L732" s="1605"/>
      <c r="M732" s="1605"/>
      <c r="N732" s="1606"/>
      <c r="O732" s="1468">
        <v>1012</v>
      </c>
      <c r="P732" s="1469"/>
      <c r="Q732" s="1469"/>
      <c r="R732" s="1469"/>
      <c r="S732" s="1470"/>
      <c r="T732" s="1468">
        <v>100</v>
      </c>
      <c r="U732" s="1469"/>
      <c r="V732" s="1469"/>
      <c r="W732" s="1470"/>
      <c r="X732" s="1358">
        <f t="shared" si="8"/>
        <v>1112</v>
      </c>
      <c r="Y732" s="1359"/>
      <c r="Z732" s="1359"/>
      <c r="AA732" s="1359"/>
      <c r="AB732" s="1360"/>
      <c r="AC732" s="1613">
        <v>0.3</v>
      </c>
      <c r="AD732" s="1614"/>
      <c r="AE732" s="1614"/>
      <c r="AF732" s="1614"/>
      <c r="AG732" s="1615"/>
      <c r="AH732" s="1361">
        <f t="shared" si="36"/>
        <v>0.29989212513484359</v>
      </c>
      <c r="AI732" s="1362"/>
      <c r="AJ732" s="1363"/>
      <c r="AK732" s="1355" t="s">
        <v>592</v>
      </c>
      <c r="AL732" s="1356"/>
      <c r="AM732" s="1356"/>
      <c r="AN732" s="1356"/>
      <c r="AO732" s="1357"/>
      <c r="AP732" s="3"/>
      <c r="AQ732" s="3"/>
      <c r="AR732" s="3"/>
      <c r="AS732" s="3"/>
      <c r="AY732" s="1085"/>
      <c r="AZ732" s="118">
        <f t="shared" si="9"/>
        <v>3708</v>
      </c>
      <c r="BA732" s="3"/>
      <c r="BB732" s="3"/>
      <c r="BC732" s="3"/>
      <c r="BD732" s="3"/>
      <c r="BE732" s="204"/>
      <c r="BF732" s="294">
        <f t="shared" si="10"/>
        <v>5</v>
      </c>
      <c r="BG732" s="297">
        <f t="shared" si="11"/>
        <v>0.10204081632653061</v>
      </c>
      <c r="BH732" s="298">
        <f t="shared" si="12"/>
        <v>3.0612244897959183E-2</v>
      </c>
      <c r="BI732" s="3"/>
      <c r="BJ732" s="3"/>
      <c r="BK732" s="3"/>
      <c r="BL732" s="3"/>
      <c r="BM732" s="3"/>
      <c r="BN732" s="3"/>
      <c r="BS732" s="294">
        <f t="shared" si="13"/>
        <v>5</v>
      </c>
      <c r="BT732" s="297">
        <f t="shared" si="14"/>
        <v>0.10204081632653061</v>
      </c>
      <c r="BU732" s="298">
        <f t="shared" si="15"/>
        <v>3.0601237258657508E-2</v>
      </c>
      <c r="BV732" s="3"/>
      <c r="BW732" s="3"/>
      <c r="BX732" s="3"/>
      <c r="BY732" s="3"/>
      <c r="BZ732" s="3"/>
      <c r="CA732" s="3"/>
      <c r="CB732" s="3"/>
      <c r="CC732" s="3"/>
      <c r="CE732" s="3"/>
      <c r="CF732" s="3"/>
      <c r="CG732" s="1351">
        <f t="shared" si="37"/>
        <v>0</v>
      </c>
      <c r="CH732" s="1353"/>
      <c r="CI732" s="1335">
        <f t="shared" si="38"/>
        <v>0</v>
      </c>
      <c r="CJ732" s="1337"/>
      <c r="CK732" s="1351">
        <f t="shared" si="16"/>
        <v>1</v>
      </c>
      <c r="CL732" s="1353"/>
      <c r="CM732" s="1335">
        <f t="shared" si="17"/>
        <v>5</v>
      </c>
      <c r="CN732" s="1337"/>
      <c r="CO732" s="3"/>
      <c r="CP732" s="1332">
        <f t="shared" si="18"/>
        <v>0</v>
      </c>
      <c r="CQ732" s="1333"/>
      <c r="CR732" s="1333"/>
      <c r="CS732" s="1333"/>
      <c r="CT732" s="1334"/>
      <c r="CU732" s="1354">
        <f t="shared" si="19"/>
        <v>5</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5</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f t="shared" si="31"/>
        <v>1012</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 customHeight="1">
      <c r="B733" s="1355" t="s">
        <v>163</v>
      </c>
      <c r="C733" s="1356"/>
      <c r="D733" s="1356"/>
      <c r="E733" s="1356"/>
      <c r="F733" s="1357"/>
      <c r="G733" s="1364">
        <v>1</v>
      </c>
      <c r="H733" s="1365"/>
      <c r="I733" s="1365"/>
      <c r="J733" s="1366"/>
      <c r="K733" s="1604">
        <v>725</v>
      </c>
      <c r="L733" s="1605"/>
      <c r="M733" s="1605"/>
      <c r="N733" s="1606"/>
      <c r="O733" s="1468">
        <v>2088</v>
      </c>
      <c r="P733" s="1469"/>
      <c r="Q733" s="1469"/>
      <c r="R733" s="1469"/>
      <c r="S733" s="1470"/>
      <c r="T733" s="1468">
        <v>137</v>
      </c>
      <c r="U733" s="1469"/>
      <c r="V733" s="1469"/>
      <c r="W733" s="1470"/>
      <c r="X733" s="1358">
        <f t="shared" si="8"/>
        <v>2225</v>
      </c>
      <c r="Y733" s="1359"/>
      <c r="Z733" s="1359"/>
      <c r="AA733" s="1359"/>
      <c r="AB733" s="1360"/>
      <c r="AC733" s="1613">
        <v>0.5</v>
      </c>
      <c r="AD733" s="1614"/>
      <c r="AE733" s="1614"/>
      <c r="AF733" s="1614"/>
      <c r="AG733" s="1615"/>
      <c r="AH733" s="1361">
        <f t="shared" si="36"/>
        <v>0.5</v>
      </c>
      <c r="AI733" s="1362"/>
      <c r="AJ733" s="1363"/>
      <c r="AK733" s="1355" t="s">
        <v>592</v>
      </c>
      <c r="AL733" s="1356"/>
      <c r="AM733" s="1356"/>
      <c r="AN733" s="1356"/>
      <c r="AO733" s="1357"/>
      <c r="AP733" s="3"/>
      <c r="AQ733" s="3"/>
      <c r="AR733" s="3"/>
      <c r="AS733" s="3"/>
      <c r="AY733" s="1085"/>
      <c r="AZ733" s="118">
        <f t="shared" si="9"/>
        <v>4450</v>
      </c>
      <c r="BA733" s="3"/>
      <c r="BB733" s="3"/>
      <c r="BC733" s="3"/>
      <c r="BD733" s="3"/>
      <c r="BE733" s="204"/>
      <c r="BF733" s="294">
        <f t="shared" si="10"/>
        <v>1</v>
      </c>
      <c r="BG733" s="297">
        <f t="shared" si="11"/>
        <v>2.0408163265306121E-2</v>
      </c>
      <c r="BH733" s="298">
        <f t="shared" si="12"/>
        <v>1.020408163265306E-2</v>
      </c>
      <c r="BI733" s="3"/>
      <c r="BJ733" s="3"/>
      <c r="BK733" s="3"/>
      <c r="BL733" s="3"/>
      <c r="BM733" s="3"/>
      <c r="BN733" s="3"/>
      <c r="BS733" s="294">
        <f t="shared" si="13"/>
        <v>1</v>
      </c>
      <c r="BT733" s="297">
        <f t="shared" si="14"/>
        <v>2.0408163265306121E-2</v>
      </c>
      <c r="BU733" s="298">
        <f t="shared" si="15"/>
        <v>1.020408163265306E-2</v>
      </c>
      <c r="BV733" s="3"/>
      <c r="BW733" s="3"/>
      <c r="BX733" s="3"/>
      <c r="BY733" s="3"/>
      <c r="BZ733" s="3"/>
      <c r="CA733" s="3"/>
      <c r="CB733" s="3"/>
      <c r="CC733" s="3"/>
      <c r="CE733" s="3"/>
      <c r="CF733" s="3"/>
      <c r="CG733" s="1351">
        <f t="shared" si="37"/>
        <v>1</v>
      </c>
      <c r="CH733" s="1353"/>
      <c r="CI733" s="1335">
        <f t="shared" si="38"/>
        <v>1</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1</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f t="shared" si="32"/>
        <v>2088</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 customHeight="1">
      <c r="B734" s="1355" t="s">
        <v>163</v>
      </c>
      <c r="C734" s="1356"/>
      <c r="D734" s="1356"/>
      <c r="E734" s="1356"/>
      <c r="F734" s="1357"/>
      <c r="G734" s="1364">
        <v>2</v>
      </c>
      <c r="H734" s="1365"/>
      <c r="I734" s="1365"/>
      <c r="J734" s="1366"/>
      <c r="K734" s="1604">
        <v>725</v>
      </c>
      <c r="L734" s="1605"/>
      <c r="M734" s="1605"/>
      <c r="N734" s="1606"/>
      <c r="O734" s="1468">
        <v>1643</v>
      </c>
      <c r="P734" s="1469"/>
      <c r="Q734" s="1469"/>
      <c r="R734" s="1469"/>
      <c r="S734" s="1470"/>
      <c r="T734" s="1468">
        <v>137</v>
      </c>
      <c r="U734" s="1469"/>
      <c r="V734" s="1469"/>
      <c r="W734" s="1470"/>
      <c r="X734" s="1358">
        <f t="shared" si="8"/>
        <v>1780</v>
      </c>
      <c r="Y734" s="1359"/>
      <c r="Z734" s="1359"/>
      <c r="AA734" s="1359"/>
      <c r="AB734" s="1360"/>
      <c r="AC734" s="1613">
        <v>0.4</v>
      </c>
      <c r="AD734" s="1614"/>
      <c r="AE734" s="1614"/>
      <c r="AF734" s="1614"/>
      <c r="AG734" s="1615"/>
      <c r="AH734" s="1361">
        <f t="shared" si="36"/>
        <v>0.4</v>
      </c>
      <c r="AI734" s="1362"/>
      <c r="AJ734" s="1363"/>
      <c r="AK734" s="1355" t="s">
        <v>592</v>
      </c>
      <c r="AL734" s="1356"/>
      <c r="AM734" s="1356"/>
      <c r="AN734" s="1356"/>
      <c r="AO734" s="1357"/>
      <c r="AP734" s="3"/>
      <c r="AQ734" s="3"/>
      <c r="AR734" s="3"/>
      <c r="AS734" s="3"/>
      <c r="AY734" s="1085"/>
      <c r="AZ734" s="118">
        <f t="shared" si="9"/>
        <v>4450</v>
      </c>
      <c r="BA734" s="3"/>
      <c r="BB734" s="3"/>
      <c r="BC734" s="3"/>
      <c r="BD734" s="3"/>
      <c r="BE734" s="204"/>
      <c r="BF734" s="294">
        <f t="shared" si="10"/>
        <v>2</v>
      </c>
      <c r="BG734" s="297">
        <f t="shared" si="11"/>
        <v>4.0816326530612242E-2</v>
      </c>
      <c r="BH734" s="298">
        <f t="shared" si="12"/>
        <v>1.6326530612244896E-2</v>
      </c>
      <c r="BI734" s="3"/>
      <c r="BJ734" s="3"/>
      <c r="BK734" s="3"/>
      <c r="BL734" s="3"/>
      <c r="BM734" s="3"/>
      <c r="BN734" s="3"/>
      <c r="BS734" s="294">
        <f t="shared" si="13"/>
        <v>2</v>
      </c>
      <c r="BT734" s="297">
        <f t="shared" si="14"/>
        <v>4.0816326530612242E-2</v>
      </c>
      <c r="BU734" s="298">
        <f t="shared" si="15"/>
        <v>1.6326530612244896E-2</v>
      </c>
      <c r="BV734" s="3"/>
      <c r="BW734" s="3"/>
      <c r="BX734" s="3"/>
      <c r="BY734" s="3"/>
      <c r="BZ734" s="3"/>
      <c r="CA734" s="3"/>
      <c r="CB734" s="3"/>
      <c r="CC734" s="3"/>
      <c r="CE734" s="3"/>
      <c r="CF734" s="3"/>
      <c r="CG734" s="1351">
        <f t="shared" si="37"/>
        <v>1</v>
      </c>
      <c r="CH734" s="1353"/>
      <c r="CI734" s="1335">
        <f t="shared" si="38"/>
        <v>2</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2</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f t="shared" si="32"/>
        <v>1643</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 customHeight="1">
      <c r="B735" s="1355" t="s">
        <v>163</v>
      </c>
      <c r="C735" s="1356"/>
      <c r="D735" s="1356"/>
      <c r="E735" s="1356"/>
      <c r="F735" s="1357"/>
      <c r="G735" s="1364">
        <v>3</v>
      </c>
      <c r="H735" s="1365"/>
      <c r="I735" s="1365"/>
      <c r="J735" s="1366"/>
      <c r="K735" s="1604">
        <v>725</v>
      </c>
      <c r="L735" s="1605"/>
      <c r="M735" s="1605"/>
      <c r="N735" s="1606"/>
      <c r="O735" s="1468">
        <v>1198</v>
      </c>
      <c r="P735" s="1469"/>
      <c r="Q735" s="1469"/>
      <c r="R735" s="1469"/>
      <c r="S735" s="1470"/>
      <c r="T735" s="1468">
        <v>137</v>
      </c>
      <c r="U735" s="1469"/>
      <c r="V735" s="1469"/>
      <c r="W735" s="1470"/>
      <c r="X735" s="1358">
        <f t="shared" si="8"/>
        <v>1335</v>
      </c>
      <c r="Y735" s="1359"/>
      <c r="Z735" s="1359"/>
      <c r="AA735" s="1359"/>
      <c r="AB735" s="1360"/>
      <c r="AC735" s="1613">
        <v>0.3</v>
      </c>
      <c r="AD735" s="1614"/>
      <c r="AE735" s="1614"/>
      <c r="AF735" s="1614"/>
      <c r="AG735" s="1615"/>
      <c r="AH735" s="1361">
        <f t="shared" si="36"/>
        <v>0.3</v>
      </c>
      <c r="AI735" s="1362"/>
      <c r="AJ735" s="1363"/>
      <c r="AK735" s="1355" t="s">
        <v>592</v>
      </c>
      <c r="AL735" s="1356"/>
      <c r="AM735" s="1356"/>
      <c r="AN735" s="1356"/>
      <c r="AO735" s="1357"/>
      <c r="AP735" s="3"/>
      <c r="AQ735" s="3"/>
      <c r="AR735" s="3"/>
      <c r="AS735" s="3"/>
      <c r="AY735" s="1085"/>
      <c r="AZ735" s="118">
        <f t="shared" si="9"/>
        <v>4450</v>
      </c>
      <c r="BA735" s="3"/>
      <c r="BB735" s="3"/>
      <c r="BC735" s="3"/>
      <c r="BD735" s="3"/>
      <c r="BE735" s="204"/>
      <c r="BF735" s="294">
        <f t="shared" si="10"/>
        <v>3</v>
      </c>
      <c r="BG735" s="297">
        <f t="shared" si="11"/>
        <v>6.1224489795918366E-2</v>
      </c>
      <c r="BH735" s="298">
        <f t="shared" si="12"/>
        <v>1.8367346938775508E-2</v>
      </c>
      <c r="BI735" s="3"/>
      <c r="BJ735" s="3"/>
      <c r="BK735" s="3"/>
      <c r="BL735" s="3"/>
      <c r="BM735" s="3"/>
      <c r="BN735" s="3"/>
      <c r="BS735" s="294">
        <f t="shared" si="13"/>
        <v>3</v>
      </c>
      <c r="BT735" s="297">
        <f t="shared" si="14"/>
        <v>6.1224489795918366E-2</v>
      </c>
      <c r="BU735" s="298">
        <f t="shared" si="15"/>
        <v>1.8367346938775508E-2</v>
      </c>
      <c r="BV735" s="3"/>
      <c r="BW735" s="3"/>
      <c r="BX735" s="3"/>
      <c r="BY735" s="3"/>
      <c r="BZ735" s="3"/>
      <c r="CA735" s="3"/>
      <c r="CB735" s="3"/>
      <c r="CC735" s="3"/>
      <c r="CE735" s="3"/>
      <c r="CF735" s="3"/>
      <c r="CG735" s="1351">
        <f t="shared" si="37"/>
        <v>0</v>
      </c>
      <c r="CH735" s="1353"/>
      <c r="CI735" s="1335">
        <f t="shared" si="38"/>
        <v>0</v>
      </c>
      <c r="CJ735" s="1337"/>
      <c r="CK735" s="1351">
        <f t="shared" si="16"/>
        <v>1</v>
      </c>
      <c r="CL735" s="1353"/>
      <c r="CM735" s="1335">
        <f t="shared" si="17"/>
        <v>3</v>
      </c>
      <c r="CN735" s="1337"/>
      <c r="CO735" s="3"/>
      <c r="CP735" s="1332">
        <f t="shared" si="18"/>
        <v>0</v>
      </c>
      <c r="CQ735" s="1333"/>
      <c r="CR735" s="1333"/>
      <c r="CS735" s="1333"/>
      <c r="CT735" s="1334"/>
      <c r="CU735" s="1354">
        <f t="shared" si="19"/>
        <v>0</v>
      </c>
      <c r="CV735" s="1354"/>
      <c r="CW735" s="1354"/>
      <c r="CX735" s="1354"/>
      <c r="CY735" s="1354"/>
      <c r="CZ735" s="1354">
        <f t="shared" si="20"/>
        <v>3</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3</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f t="shared" si="32"/>
        <v>1198</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 customHeight="1">
      <c r="B736" s="1355" t="s">
        <v>164</v>
      </c>
      <c r="C736" s="1356"/>
      <c r="D736" s="1356"/>
      <c r="E736" s="1356"/>
      <c r="F736" s="1357"/>
      <c r="G736" s="1364">
        <v>1</v>
      </c>
      <c r="H736" s="1365"/>
      <c r="I736" s="1365"/>
      <c r="J736" s="1366"/>
      <c r="K736" s="1604">
        <v>902</v>
      </c>
      <c r="L736" s="1605"/>
      <c r="M736" s="1605"/>
      <c r="N736" s="1606"/>
      <c r="O736" s="1468">
        <v>2394</v>
      </c>
      <c r="P736" s="1469"/>
      <c r="Q736" s="1469"/>
      <c r="R736" s="1469"/>
      <c r="S736" s="1470"/>
      <c r="T736" s="1468">
        <v>177</v>
      </c>
      <c r="U736" s="1469"/>
      <c r="V736" s="1469"/>
      <c r="W736" s="1470"/>
      <c r="X736" s="1358">
        <f t="shared" si="8"/>
        <v>2571</v>
      </c>
      <c r="Y736" s="1359"/>
      <c r="Z736" s="1359"/>
      <c r="AA736" s="1359"/>
      <c r="AB736" s="1360"/>
      <c r="AC736" s="1613">
        <v>0.5</v>
      </c>
      <c r="AD736" s="1614"/>
      <c r="AE736" s="1614"/>
      <c r="AF736" s="1614"/>
      <c r="AG736" s="1615"/>
      <c r="AH736" s="1361">
        <f t="shared" si="36"/>
        <v>0.5</v>
      </c>
      <c r="AI736" s="1362"/>
      <c r="AJ736" s="1363"/>
      <c r="AK736" s="1355" t="s">
        <v>592</v>
      </c>
      <c r="AL736" s="1356"/>
      <c r="AM736" s="1356"/>
      <c r="AN736" s="1356"/>
      <c r="AO736" s="1357"/>
      <c r="AP736" s="3"/>
      <c r="AQ736" s="3"/>
      <c r="AR736" s="3"/>
      <c r="AS736" s="3"/>
      <c r="AY736" s="1085"/>
      <c r="AZ736" s="118">
        <f t="shared" si="9"/>
        <v>5142</v>
      </c>
      <c r="BA736" s="3"/>
      <c r="BB736" s="3"/>
      <c r="BC736" s="3"/>
      <c r="BD736" s="3"/>
      <c r="BE736" s="204"/>
      <c r="BF736" s="294">
        <f t="shared" si="10"/>
        <v>1</v>
      </c>
      <c r="BG736" s="297">
        <f t="shared" si="11"/>
        <v>2.0408163265306121E-2</v>
      </c>
      <c r="BH736" s="298">
        <f t="shared" si="12"/>
        <v>1.020408163265306E-2</v>
      </c>
      <c r="BI736" s="3"/>
      <c r="BJ736" s="3"/>
      <c r="BK736" s="3"/>
      <c r="BL736" s="3"/>
      <c r="BM736" s="3"/>
      <c r="BN736" s="3"/>
      <c r="BS736" s="294">
        <f t="shared" si="13"/>
        <v>1</v>
      </c>
      <c r="BT736" s="297">
        <f t="shared" si="14"/>
        <v>2.0408163265306121E-2</v>
      </c>
      <c r="BU736" s="298">
        <f t="shared" si="15"/>
        <v>1.020408163265306E-2</v>
      </c>
      <c r="BV736" s="3"/>
      <c r="BW736" s="3"/>
      <c r="BX736" s="3"/>
      <c r="BY736" s="3"/>
      <c r="BZ736" s="3"/>
      <c r="CA736" s="3"/>
      <c r="CB736" s="3"/>
      <c r="CC736" s="3"/>
      <c r="CE736" s="3"/>
      <c r="CF736" s="3"/>
      <c r="CG736" s="1351">
        <f t="shared" si="37"/>
        <v>1</v>
      </c>
      <c r="CH736" s="1353"/>
      <c r="CI736" s="1335">
        <f t="shared" si="38"/>
        <v>1</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1</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f t="shared" si="33"/>
        <v>2394</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 customHeight="1">
      <c r="B737" s="1355" t="s">
        <v>164</v>
      </c>
      <c r="C737" s="1356"/>
      <c r="D737" s="1356"/>
      <c r="E737" s="1356"/>
      <c r="F737" s="1357"/>
      <c r="G737" s="1364">
        <v>1</v>
      </c>
      <c r="H737" s="1365"/>
      <c r="I737" s="1365"/>
      <c r="J737" s="1366"/>
      <c r="K737" s="1604">
        <v>902</v>
      </c>
      <c r="L737" s="1605"/>
      <c r="M737" s="1605"/>
      <c r="N737" s="1606"/>
      <c r="O737" s="1468">
        <v>1880</v>
      </c>
      <c r="P737" s="1469"/>
      <c r="Q737" s="1469"/>
      <c r="R737" s="1469"/>
      <c r="S737" s="1470"/>
      <c r="T737" s="1468">
        <v>177</v>
      </c>
      <c r="U737" s="1469"/>
      <c r="V737" s="1469"/>
      <c r="W737" s="1470"/>
      <c r="X737" s="1358">
        <f t="shared" si="8"/>
        <v>2057</v>
      </c>
      <c r="Y737" s="1359"/>
      <c r="Z737" s="1359"/>
      <c r="AA737" s="1359"/>
      <c r="AB737" s="1360"/>
      <c r="AC737" s="1613">
        <v>0.4</v>
      </c>
      <c r="AD737" s="1614"/>
      <c r="AE737" s="1614"/>
      <c r="AF737" s="1614"/>
      <c r="AG737" s="1615"/>
      <c r="AH737" s="1361">
        <f t="shared" si="36"/>
        <v>0.40003889537145082</v>
      </c>
      <c r="AI737" s="1362"/>
      <c r="AJ737" s="1363"/>
      <c r="AK737" s="1355" t="s">
        <v>592</v>
      </c>
      <c r="AL737" s="1356"/>
      <c r="AM737" s="1356"/>
      <c r="AN737" s="1356"/>
      <c r="AO737" s="1357"/>
      <c r="AP737" s="3"/>
      <c r="AQ737" s="3"/>
      <c r="AR737" s="3"/>
      <c r="AS737" s="3"/>
      <c r="AY737" s="1085"/>
      <c r="AZ737" s="118">
        <f t="shared" si="9"/>
        <v>5142</v>
      </c>
      <c r="BA737" s="3"/>
      <c r="BB737" s="3"/>
      <c r="BC737" s="3"/>
      <c r="BD737" s="3"/>
      <c r="BE737" s="204"/>
      <c r="BF737" s="294">
        <f t="shared" si="10"/>
        <v>1</v>
      </c>
      <c r="BG737" s="297">
        <f t="shared" si="11"/>
        <v>2.0408163265306121E-2</v>
      </c>
      <c r="BH737" s="298">
        <f t="shared" si="12"/>
        <v>8.163265306122448E-3</v>
      </c>
      <c r="BI737" s="3"/>
      <c r="BJ737" s="3"/>
      <c r="BK737" s="3"/>
      <c r="BL737" s="3"/>
      <c r="BM737" s="3"/>
      <c r="BN737" s="3"/>
      <c r="BS737" s="294">
        <f t="shared" si="13"/>
        <v>1</v>
      </c>
      <c r="BT737" s="297">
        <f t="shared" si="14"/>
        <v>2.0408163265306121E-2</v>
      </c>
      <c r="BU737" s="298">
        <f t="shared" si="15"/>
        <v>8.1640590892132821E-3</v>
      </c>
      <c r="BV737" s="3"/>
      <c r="BW737" s="3"/>
      <c r="BX737" s="3"/>
      <c r="BY737" s="3"/>
      <c r="BZ737" s="3"/>
      <c r="CA737" s="3"/>
      <c r="CB737" s="3"/>
      <c r="CC737" s="3"/>
      <c r="CE737" s="3"/>
      <c r="CF737" s="3"/>
      <c r="CG737" s="1351">
        <f t="shared" si="37"/>
        <v>1</v>
      </c>
      <c r="CH737" s="1353"/>
      <c r="CI737" s="1335">
        <f t="shared" si="38"/>
        <v>1</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1</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f t="shared" si="33"/>
        <v>1880</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 customHeight="1">
      <c r="B738" s="1355" t="s">
        <v>164</v>
      </c>
      <c r="C738" s="1356"/>
      <c r="D738" s="1356"/>
      <c r="E738" s="1356"/>
      <c r="F738" s="1357"/>
      <c r="G738" s="1364">
        <v>2</v>
      </c>
      <c r="H738" s="1365"/>
      <c r="I738" s="1365"/>
      <c r="J738" s="1366"/>
      <c r="K738" s="1604">
        <v>902</v>
      </c>
      <c r="L738" s="1605"/>
      <c r="M738" s="1605"/>
      <c r="N738" s="1606"/>
      <c r="O738" s="1468">
        <v>1365</v>
      </c>
      <c r="P738" s="1469"/>
      <c r="Q738" s="1469"/>
      <c r="R738" s="1469"/>
      <c r="S738" s="1470"/>
      <c r="T738" s="1468">
        <v>177</v>
      </c>
      <c r="U738" s="1469"/>
      <c r="V738" s="1469"/>
      <c r="W738" s="1470"/>
      <c r="X738" s="1358">
        <f t="shared" si="8"/>
        <v>1542</v>
      </c>
      <c r="Y738" s="1359"/>
      <c r="Z738" s="1359"/>
      <c r="AA738" s="1359"/>
      <c r="AB738" s="1360"/>
      <c r="AC738" s="1613">
        <v>0.3</v>
      </c>
      <c r="AD738" s="1614"/>
      <c r="AE738" s="1614"/>
      <c r="AF738" s="1614"/>
      <c r="AG738" s="1615"/>
      <c r="AH738" s="1361">
        <f t="shared" si="36"/>
        <v>0.2998833138856476</v>
      </c>
      <c r="AI738" s="1362"/>
      <c r="AJ738" s="1363"/>
      <c r="AK738" s="1355" t="s">
        <v>592</v>
      </c>
      <c r="AL738" s="1356"/>
      <c r="AM738" s="1356"/>
      <c r="AN738" s="1356"/>
      <c r="AO738" s="1357"/>
      <c r="AP738" s="3"/>
      <c r="AQ738" s="3"/>
      <c r="AR738" s="3"/>
      <c r="AS738" s="3"/>
      <c r="AY738" s="1085"/>
      <c r="AZ738" s="118">
        <f t="shared" si="9"/>
        <v>5142</v>
      </c>
      <c r="BA738" s="3"/>
      <c r="BE738" s="204"/>
      <c r="BF738" s="294">
        <f t="shared" si="10"/>
        <v>2</v>
      </c>
      <c r="BG738" s="297">
        <f t="shared" si="11"/>
        <v>4.0816326530612242E-2</v>
      </c>
      <c r="BH738" s="298">
        <f t="shared" si="12"/>
        <v>1.2244897959183673E-2</v>
      </c>
      <c r="BK738" s="3"/>
      <c r="BL738" s="3"/>
      <c r="BM738" s="3"/>
      <c r="BN738" s="3"/>
      <c r="BS738" s="294">
        <f t="shared" si="13"/>
        <v>2</v>
      </c>
      <c r="BT738" s="297">
        <f t="shared" si="14"/>
        <v>4.0816326530612242E-2</v>
      </c>
      <c r="BU738" s="298">
        <f t="shared" si="15"/>
        <v>1.2240135260638677E-2</v>
      </c>
      <c r="BV738" s="3"/>
      <c r="BW738" s="3"/>
      <c r="BX738" s="3"/>
      <c r="BY738" s="3"/>
      <c r="BZ738" s="3"/>
      <c r="CA738" s="3"/>
      <c r="CB738" s="3"/>
      <c r="CC738" s="3"/>
      <c r="CE738" s="3"/>
      <c r="CF738" s="3"/>
      <c r="CG738" s="1351">
        <f t="shared" si="37"/>
        <v>0</v>
      </c>
      <c r="CH738" s="1353"/>
      <c r="CI738" s="1335">
        <f t="shared" si="38"/>
        <v>0</v>
      </c>
      <c r="CJ738" s="1337"/>
      <c r="CK738" s="1351">
        <f t="shared" si="16"/>
        <v>1</v>
      </c>
      <c r="CL738" s="1353"/>
      <c r="CM738" s="1335">
        <f t="shared" si="17"/>
        <v>2</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2</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2</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f t="shared" si="33"/>
        <v>1365</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 customHeight="1">
      <c r="B739" s="1355"/>
      <c r="C739" s="1356"/>
      <c r="D739" s="1356"/>
      <c r="E739" s="1356"/>
      <c r="F739" s="1357"/>
      <c r="G739" s="1364"/>
      <c r="H739" s="1365"/>
      <c r="I739" s="1365"/>
      <c r="J739" s="1366"/>
      <c r="K739" s="1604"/>
      <c r="L739" s="1605"/>
      <c r="M739" s="1605"/>
      <c r="N739" s="1606"/>
      <c r="O739" s="1468"/>
      <c r="P739" s="1469"/>
      <c r="Q739" s="1469"/>
      <c r="R739" s="1469"/>
      <c r="S739" s="1470"/>
      <c r="T739" s="1468"/>
      <c r="U739" s="1469"/>
      <c r="V739" s="1469"/>
      <c r="W739" s="1470"/>
      <c r="X739" s="1358">
        <f t="shared" si="8"/>
        <v>0</v>
      </c>
      <c r="Y739" s="1359"/>
      <c r="Z739" s="1359"/>
      <c r="AA739" s="1359"/>
      <c r="AB739" s="1360"/>
      <c r="AC739" s="1613"/>
      <c r="AD739" s="1614"/>
      <c r="AE739" s="1614"/>
      <c r="AF739" s="1614"/>
      <c r="AG739" s="1615"/>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 customHeight="1">
      <c r="B740" s="1355"/>
      <c r="C740" s="1356"/>
      <c r="D740" s="1356"/>
      <c r="E740" s="1356"/>
      <c r="F740" s="1357"/>
      <c r="G740" s="1364"/>
      <c r="H740" s="1365"/>
      <c r="I740" s="1365"/>
      <c r="J740" s="1366"/>
      <c r="K740" s="1604"/>
      <c r="L740" s="1605"/>
      <c r="M740" s="1605"/>
      <c r="N740" s="1606"/>
      <c r="O740" s="1468"/>
      <c r="P740" s="1469"/>
      <c r="Q740" s="1469"/>
      <c r="R740" s="1469"/>
      <c r="S740" s="1470"/>
      <c r="T740" s="1468"/>
      <c r="U740" s="1469"/>
      <c r="V740" s="1469"/>
      <c r="W740" s="1470"/>
      <c r="X740" s="1358">
        <f t="shared" si="8"/>
        <v>0</v>
      </c>
      <c r="Y740" s="1359"/>
      <c r="Z740" s="1359"/>
      <c r="AA740" s="1359"/>
      <c r="AB740" s="1360"/>
      <c r="AC740" s="1613"/>
      <c r="AD740" s="1614"/>
      <c r="AE740" s="1614"/>
      <c r="AF740" s="1614"/>
      <c r="AG740" s="1615"/>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 customHeight="1">
      <c r="B741" s="1355"/>
      <c r="C741" s="1356"/>
      <c r="D741" s="1356"/>
      <c r="E741" s="1356"/>
      <c r="F741" s="1357"/>
      <c r="G741" s="1364"/>
      <c r="H741" s="1365"/>
      <c r="I741" s="1365"/>
      <c r="J741" s="1366"/>
      <c r="K741" s="1604"/>
      <c r="L741" s="1605"/>
      <c r="M741" s="1605"/>
      <c r="N741" s="1606"/>
      <c r="O741" s="1468"/>
      <c r="P741" s="1469"/>
      <c r="Q741" s="1469"/>
      <c r="R741" s="1469"/>
      <c r="S741" s="1470"/>
      <c r="T741" s="1468"/>
      <c r="U741" s="1469"/>
      <c r="V741" s="1469"/>
      <c r="W741" s="1470"/>
      <c r="X741" s="1358">
        <f t="shared" si="8"/>
        <v>0</v>
      </c>
      <c r="Y741" s="1359"/>
      <c r="Z741" s="1359"/>
      <c r="AA741" s="1359"/>
      <c r="AB741" s="1360"/>
      <c r="AC741" s="1613"/>
      <c r="AD741" s="1614"/>
      <c r="AE741" s="1614"/>
      <c r="AF741" s="1614"/>
      <c r="AG741" s="1615"/>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 customHeight="1">
      <c r="B742" s="1355"/>
      <c r="C742" s="1356"/>
      <c r="D742" s="1356"/>
      <c r="E742" s="1356"/>
      <c r="F742" s="1357"/>
      <c r="G742" s="1364"/>
      <c r="H742" s="1365"/>
      <c r="I742" s="1365"/>
      <c r="J742" s="1366"/>
      <c r="K742" s="1604"/>
      <c r="L742" s="1605"/>
      <c r="M742" s="1605"/>
      <c r="N742" s="1606"/>
      <c r="O742" s="1468"/>
      <c r="P742" s="1469"/>
      <c r="Q742" s="1469"/>
      <c r="R742" s="1469"/>
      <c r="S742" s="1470"/>
      <c r="T742" s="1468"/>
      <c r="U742" s="1469"/>
      <c r="V742" s="1469"/>
      <c r="W742" s="1470"/>
      <c r="X742" s="1358">
        <f t="shared" ref="X742:X751" si="39">O742+T742</f>
        <v>0</v>
      </c>
      <c r="Y742" s="1359"/>
      <c r="Z742" s="1359"/>
      <c r="AA742" s="1359"/>
      <c r="AB742" s="1360"/>
      <c r="AC742" s="1613"/>
      <c r="AD742" s="1614"/>
      <c r="AE742" s="1614"/>
      <c r="AF742" s="1614"/>
      <c r="AG742" s="1615"/>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 customHeight="1">
      <c r="A743"/>
      <c r="B743" s="1355"/>
      <c r="C743" s="1356"/>
      <c r="D743" s="1356"/>
      <c r="E743" s="1356"/>
      <c r="F743" s="1357"/>
      <c r="G743" s="1364"/>
      <c r="H743" s="1365"/>
      <c r="I743" s="1365"/>
      <c r="J743" s="1366"/>
      <c r="K743" s="1604"/>
      <c r="L743" s="1605"/>
      <c r="M743" s="1605"/>
      <c r="N743" s="1606"/>
      <c r="O743" s="1468"/>
      <c r="P743" s="1469"/>
      <c r="Q743" s="1469"/>
      <c r="R743" s="1469"/>
      <c r="S743" s="1470"/>
      <c r="T743" s="1468"/>
      <c r="U743" s="1469"/>
      <c r="V743" s="1469"/>
      <c r="W743" s="1470"/>
      <c r="X743" s="1358">
        <f t="shared" si="39"/>
        <v>0</v>
      </c>
      <c r="Y743" s="1359"/>
      <c r="Z743" s="1359"/>
      <c r="AA743" s="1359"/>
      <c r="AB743" s="1360"/>
      <c r="AC743" s="1613"/>
      <c r="AD743" s="1614"/>
      <c r="AE743" s="1614"/>
      <c r="AF743" s="1614"/>
      <c r="AG743" s="1615"/>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 customHeight="1">
      <c r="B744" s="1355"/>
      <c r="C744" s="1356"/>
      <c r="D744" s="1356"/>
      <c r="E744" s="1356"/>
      <c r="F744" s="1357"/>
      <c r="G744" s="1364"/>
      <c r="H744" s="1365"/>
      <c r="I744" s="1365"/>
      <c r="J744" s="1366"/>
      <c r="K744" s="1604"/>
      <c r="L744" s="1605"/>
      <c r="M744" s="1605"/>
      <c r="N744" s="1606"/>
      <c r="O744" s="1468"/>
      <c r="P744" s="1469"/>
      <c r="Q744" s="1469"/>
      <c r="R744" s="1469"/>
      <c r="S744" s="1470"/>
      <c r="T744" s="1468"/>
      <c r="U744" s="1469"/>
      <c r="V744" s="1469"/>
      <c r="W744" s="1470"/>
      <c r="X744" s="1358">
        <f t="shared" si="39"/>
        <v>0</v>
      </c>
      <c r="Y744" s="1359"/>
      <c r="Z744" s="1359"/>
      <c r="AA744" s="1359"/>
      <c r="AB744" s="1360"/>
      <c r="AC744" s="1613"/>
      <c r="AD744" s="1614"/>
      <c r="AE744" s="1614"/>
      <c r="AF744" s="1614"/>
      <c r="AG744" s="1615"/>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 customHeight="1">
      <c r="B745" s="1355"/>
      <c r="C745" s="1356"/>
      <c r="D745" s="1356"/>
      <c r="E745" s="1356"/>
      <c r="F745" s="1357"/>
      <c r="G745" s="1364"/>
      <c r="H745" s="1365"/>
      <c r="I745" s="1365"/>
      <c r="J745" s="1366"/>
      <c r="K745" s="1604"/>
      <c r="L745" s="1605"/>
      <c r="M745" s="1605"/>
      <c r="N745" s="1606"/>
      <c r="O745" s="1468"/>
      <c r="P745" s="1469"/>
      <c r="Q745" s="1469"/>
      <c r="R745" s="1469"/>
      <c r="S745" s="1470"/>
      <c r="T745" s="1468"/>
      <c r="U745" s="1469"/>
      <c r="V745" s="1469"/>
      <c r="W745" s="1470"/>
      <c r="X745" s="1358">
        <f t="shared" si="39"/>
        <v>0</v>
      </c>
      <c r="Y745" s="1359"/>
      <c r="Z745" s="1359"/>
      <c r="AA745" s="1359"/>
      <c r="AB745" s="1360"/>
      <c r="AC745" s="1613"/>
      <c r="AD745" s="1614"/>
      <c r="AE745" s="1614"/>
      <c r="AF745" s="1614"/>
      <c r="AG745" s="1615"/>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 customHeight="1">
      <c r="B746" s="1355"/>
      <c r="C746" s="1356"/>
      <c r="D746" s="1356"/>
      <c r="E746" s="1356"/>
      <c r="F746" s="1357"/>
      <c r="G746" s="1364"/>
      <c r="H746" s="1365"/>
      <c r="I746" s="1365"/>
      <c r="J746" s="1366"/>
      <c r="K746" s="1604"/>
      <c r="L746" s="1605"/>
      <c r="M746" s="1605"/>
      <c r="N746" s="1606"/>
      <c r="O746" s="1468"/>
      <c r="P746" s="1469"/>
      <c r="Q746" s="1469"/>
      <c r="R746" s="1469"/>
      <c r="S746" s="1470"/>
      <c r="T746" s="1468"/>
      <c r="U746" s="1469"/>
      <c r="V746" s="1469"/>
      <c r="W746" s="1470"/>
      <c r="X746" s="1358">
        <f t="shared" si="39"/>
        <v>0</v>
      </c>
      <c r="Y746" s="1359"/>
      <c r="Z746" s="1359"/>
      <c r="AA746" s="1359"/>
      <c r="AB746" s="1360"/>
      <c r="AC746" s="1613"/>
      <c r="AD746" s="1614"/>
      <c r="AE746" s="1614"/>
      <c r="AF746" s="1614"/>
      <c r="AG746" s="1615"/>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 customHeight="1">
      <c r="B747" s="1355"/>
      <c r="C747" s="1356"/>
      <c r="D747" s="1356"/>
      <c r="E747" s="1356"/>
      <c r="F747" s="1357"/>
      <c r="G747" s="1364"/>
      <c r="H747" s="1365"/>
      <c r="I747" s="1365"/>
      <c r="J747" s="1366"/>
      <c r="K747" s="1604"/>
      <c r="L747" s="1605"/>
      <c r="M747" s="1605"/>
      <c r="N747" s="1606"/>
      <c r="O747" s="1468"/>
      <c r="P747" s="1469"/>
      <c r="Q747" s="1469"/>
      <c r="R747" s="1469"/>
      <c r="S747" s="1470"/>
      <c r="T747" s="1468"/>
      <c r="U747" s="1469"/>
      <c r="V747" s="1469"/>
      <c r="W747" s="1470"/>
      <c r="X747" s="1358">
        <f t="shared" si="39"/>
        <v>0</v>
      </c>
      <c r="Y747" s="1359"/>
      <c r="Z747" s="1359"/>
      <c r="AA747" s="1359"/>
      <c r="AB747" s="1360"/>
      <c r="AC747" s="1613"/>
      <c r="AD747" s="1614"/>
      <c r="AE747" s="1614"/>
      <c r="AF747" s="1614"/>
      <c r="AG747" s="1615"/>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 customHeight="1">
      <c r="A748"/>
      <c r="B748" s="1355"/>
      <c r="C748" s="1356"/>
      <c r="D748" s="1356"/>
      <c r="E748" s="1356"/>
      <c r="F748" s="1357"/>
      <c r="G748" s="1364"/>
      <c r="H748" s="1365"/>
      <c r="I748" s="1365"/>
      <c r="J748" s="1366"/>
      <c r="K748" s="1604"/>
      <c r="L748" s="1605"/>
      <c r="M748" s="1605"/>
      <c r="N748" s="1606"/>
      <c r="O748" s="1468"/>
      <c r="P748" s="1469"/>
      <c r="Q748" s="1469"/>
      <c r="R748" s="1469"/>
      <c r="S748" s="1470"/>
      <c r="T748" s="1468"/>
      <c r="U748" s="1469"/>
      <c r="V748" s="1469"/>
      <c r="W748" s="1470"/>
      <c r="X748" s="1358">
        <f t="shared" si="39"/>
        <v>0</v>
      </c>
      <c r="Y748" s="1359"/>
      <c r="Z748" s="1359"/>
      <c r="AA748" s="1359"/>
      <c r="AB748" s="1360"/>
      <c r="AC748" s="1613"/>
      <c r="AD748" s="1614"/>
      <c r="AE748" s="1614"/>
      <c r="AF748" s="1614"/>
      <c r="AG748" s="1615"/>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 customHeight="1">
      <c r="A749"/>
      <c r="B749" s="1355"/>
      <c r="C749" s="1356"/>
      <c r="D749" s="1356"/>
      <c r="E749" s="1356"/>
      <c r="F749" s="1357"/>
      <c r="G749" s="1364"/>
      <c r="H749" s="1365"/>
      <c r="I749" s="1365"/>
      <c r="J749" s="1366"/>
      <c r="K749" s="1604"/>
      <c r="L749" s="1605"/>
      <c r="M749" s="1605"/>
      <c r="N749" s="1606"/>
      <c r="O749" s="1468"/>
      <c r="P749" s="1469"/>
      <c r="Q749" s="1469"/>
      <c r="R749" s="1469"/>
      <c r="S749" s="1470"/>
      <c r="T749" s="1468"/>
      <c r="U749" s="1469"/>
      <c r="V749" s="1469"/>
      <c r="W749" s="1470"/>
      <c r="X749" s="1358">
        <f t="shared" si="39"/>
        <v>0</v>
      </c>
      <c r="Y749" s="1359"/>
      <c r="Z749" s="1359"/>
      <c r="AA749" s="1359"/>
      <c r="AB749" s="1360"/>
      <c r="AC749" s="1613"/>
      <c r="AD749" s="1614"/>
      <c r="AE749" s="1614"/>
      <c r="AF749" s="1614"/>
      <c r="AG749" s="1615"/>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 customHeight="1">
      <c r="A750"/>
      <c r="B750" s="1355"/>
      <c r="C750" s="1356"/>
      <c r="D750" s="1356"/>
      <c r="E750" s="1356"/>
      <c r="F750" s="1357"/>
      <c r="G750" s="1364"/>
      <c r="H750" s="1365"/>
      <c r="I750" s="1365"/>
      <c r="J750" s="1366"/>
      <c r="K750" s="1604"/>
      <c r="L750" s="1605"/>
      <c r="M750" s="1605"/>
      <c r="N750" s="1606"/>
      <c r="O750" s="1468"/>
      <c r="P750" s="1469"/>
      <c r="Q750" s="1469"/>
      <c r="R750" s="1469"/>
      <c r="S750" s="1470"/>
      <c r="T750" s="1468"/>
      <c r="U750" s="1469"/>
      <c r="V750" s="1469"/>
      <c r="W750" s="1470"/>
      <c r="X750" s="1358">
        <f t="shared" si="39"/>
        <v>0</v>
      </c>
      <c r="Y750" s="1359"/>
      <c r="Z750" s="1359"/>
      <c r="AA750" s="1359"/>
      <c r="AB750" s="1360"/>
      <c r="AC750" s="1613"/>
      <c r="AD750" s="1614"/>
      <c r="AE750" s="1614"/>
      <c r="AF750" s="1614"/>
      <c r="AG750" s="1615"/>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 customHeight="1">
      <c r="A751"/>
      <c r="B751" s="1355"/>
      <c r="C751" s="1356"/>
      <c r="D751" s="1356"/>
      <c r="E751" s="1356"/>
      <c r="F751" s="1357"/>
      <c r="G751" s="1364"/>
      <c r="H751" s="1365"/>
      <c r="I751" s="1365"/>
      <c r="J751" s="1366"/>
      <c r="K751" s="1604"/>
      <c r="L751" s="1605"/>
      <c r="M751" s="1605"/>
      <c r="N751" s="1606"/>
      <c r="O751" s="1468"/>
      <c r="P751" s="1469"/>
      <c r="Q751" s="1469"/>
      <c r="R751" s="1469"/>
      <c r="S751" s="1470"/>
      <c r="T751" s="1468"/>
      <c r="U751" s="1469"/>
      <c r="V751" s="1469"/>
      <c r="W751" s="1470"/>
      <c r="X751" s="1358">
        <f t="shared" si="39"/>
        <v>0</v>
      </c>
      <c r="Y751" s="1359"/>
      <c r="Z751" s="1359"/>
      <c r="AA751" s="1359"/>
      <c r="AB751" s="1360"/>
      <c r="AC751" s="1613"/>
      <c r="AD751" s="1614"/>
      <c r="AE751" s="1614"/>
      <c r="AF751" s="1614"/>
      <c r="AG751" s="1615"/>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 customHeight="1">
      <c r="A752"/>
      <c r="B752" s="1355"/>
      <c r="C752" s="1356"/>
      <c r="D752" s="1356"/>
      <c r="E752" s="1356"/>
      <c r="F752" s="1357"/>
      <c r="G752" s="1364"/>
      <c r="H752" s="1365"/>
      <c r="I752" s="1365"/>
      <c r="J752" s="1366"/>
      <c r="K752" s="1604"/>
      <c r="L752" s="1605"/>
      <c r="M752" s="1605"/>
      <c r="N752" s="1606"/>
      <c r="O752" s="1468"/>
      <c r="P752" s="1469"/>
      <c r="Q752" s="1469"/>
      <c r="R752" s="1469"/>
      <c r="S752" s="1470"/>
      <c r="T752" s="1468"/>
      <c r="U752" s="1469"/>
      <c r="V752" s="1469"/>
      <c r="W752" s="1470"/>
      <c r="X752" s="1358">
        <f>O752+T752</f>
        <v>0</v>
      </c>
      <c r="Y752" s="1359"/>
      <c r="Z752" s="1359"/>
      <c r="AA752" s="1359"/>
      <c r="AB752" s="1360"/>
      <c r="AC752" s="1613"/>
      <c r="AD752" s="1614"/>
      <c r="AE752" s="1614"/>
      <c r="AF752" s="1614"/>
      <c r="AG752" s="1615"/>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 customHeight="1">
      <c r="A753"/>
      <c r="B753" s="1408" t="s">
        <v>125</v>
      </c>
      <c r="C753" s="1409"/>
      <c r="D753" s="1409"/>
      <c r="E753" s="1409"/>
      <c r="F753" s="1411"/>
      <c r="G753" s="1718">
        <f>SUM(G718:G752)</f>
        <v>49</v>
      </c>
      <c r="H753" s="1719"/>
      <c r="I753" s="1719"/>
      <c r="J753" s="1720"/>
      <c r="K753" s="902" t="s">
        <v>124</v>
      </c>
      <c r="L753" s="5"/>
      <c r="M753" s="5"/>
      <c r="N753" s="46"/>
      <c r="O753" s="1358">
        <f>SUMPRODUCT(G718:G752,O718:O752)</f>
        <v>86656</v>
      </c>
      <c r="P753" s="1359"/>
      <c r="Q753" s="1359"/>
      <c r="R753" s="1359"/>
      <c r="S753" s="1360"/>
      <c r="T753"/>
      <c r="U753"/>
      <c r="V753"/>
      <c r="W753"/>
      <c r="X753" s="904" t="s">
        <v>901</v>
      </c>
      <c r="Y753" s="903"/>
      <c r="Z753" s="903"/>
      <c r="AA753" s="903"/>
      <c r="AB753" s="905"/>
      <c r="AC753" s="1617">
        <f>BH753</f>
        <v>0.4408163265306122</v>
      </c>
      <c r="AD753" s="1618"/>
      <c r="AE753" s="1618"/>
      <c r="AF753" s="1618"/>
      <c r="AG753" s="1619"/>
      <c r="AH753" s="1617">
        <f>IFERROR(BU753,"")</f>
        <v>0.44079377178777235</v>
      </c>
      <c r="AI753" s="1618"/>
      <c r="AJ753" s="1619"/>
      <c r="AK753"/>
      <c r="AL753"/>
      <c r="AM753"/>
      <c r="AN753"/>
      <c r="AO753"/>
      <c r="AP753" s="205"/>
      <c r="AQ753" s="205"/>
      <c r="AR753" s="205"/>
      <c r="AS753" s="205"/>
      <c r="AT753"/>
      <c r="AU753"/>
      <c r="AV753"/>
      <c r="AW753"/>
      <c r="AX753"/>
      <c r="AY753"/>
      <c r="AZ753" s="34"/>
      <c r="BA753" s="34"/>
      <c r="BB753" s="34"/>
      <c r="BC753" s="34"/>
      <c r="BE753" s="290" t="s">
        <v>900</v>
      </c>
      <c r="BF753" s="299">
        <f>SUM(BF718:BF752)</f>
        <v>49</v>
      </c>
      <c r="BG753" s="300">
        <f>SUM(BG718:BG752)</f>
        <v>1</v>
      </c>
      <c r="BH753" s="300">
        <f>SUM(BH718:BH752)</f>
        <v>0.4408163265306122</v>
      </c>
      <c r="BI753"/>
      <c r="BJ753"/>
      <c r="BK753"/>
      <c r="BL753"/>
      <c r="BO753"/>
      <c r="BP753"/>
      <c r="BQ753"/>
      <c r="BR753"/>
      <c r="BS753" s="859">
        <f>SUM(BS718:BS752)</f>
        <v>49</v>
      </c>
      <c r="BT753" s="300">
        <f>SUM(BT718:BT752)</f>
        <v>1</v>
      </c>
      <c r="BU753" s="300">
        <f>SUM(BU718:BU752)</f>
        <v>0.44079377178777235</v>
      </c>
      <c r="CI753" s="1351">
        <f>SUM(CI718:CJ752)</f>
        <v>28</v>
      </c>
      <c r="CJ753" s="1353"/>
      <c r="CM753" s="1351">
        <f>SUM(CM718:CN752)</f>
        <v>13</v>
      </c>
      <c r="CN753" s="1353"/>
      <c r="CP753" s="1351">
        <f>SUM(CP718:CT752)</f>
        <v>0</v>
      </c>
      <c r="CQ753" s="1352"/>
      <c r="CR753" s="1352"/>
      <c r="CS753" s="1352"/>
      <c r="CT753" s="1353"/>
      <c r="CU753" s="1367">
        <f>SUM(CU718:CY752)</f>
        <v>22</v>
      </c>
      <c r="CV753" s="1367"/>
      <c r="CW753" s="1367"/>
      <c r="CX753" s="1367"/>
      <c r="CY753" s="1367"/>
      <c r="CZ753" s="1367">
        <f>SUM(CZ718:DD752)</f>
        <v>14</v>
      </c>
      <c r="DA753" s="1367"/>
      <c r="DB753" s="1367"/>
      <c r="DC753" s="1367"/>
      <c r="DD753" s="1367"/>
      <c r="DE753" s="1367">
        <f>SUM(DE718:DI752)</f>
        <v>13</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6</v>
      </c>
      <c r="EA753" s="1367"/>
      <c r="EB753" s="1367"/>
      <c r="EC753" s="1367"/>
      <c r="ED753" s="1367"/>
      <c r="EE753" s="1367">
        <f>SUM(EE718:EI752)</f>
        <v>4</v>
      </c>
      <c r="EF753" s="1367"/>
      <c r="EG753" s="1367"/>
      <c r="EH753" s="1367"/>
      <c r="EI753" s="1367"/>
      <c r="EJ753" s="1367">
        <f>SUM(EJ718:EN752)</f>
        <v>3</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10423</v>
      </c>
      <c r="FF753" s="1367"/>
      <c r="FG753" s="1367"/>
      <c r="FH753" s="1367"/>
      <c r="FI753" s="1367"/>
      <c r="FJ753" s="1367">
        <f>SUM(FJ718:FN752)</f>
        <v>12391</v>
      </c>
      <c r="FK753" s="1367"/>
      <c r="FL753" s="1367"/>
      <c r="FM753" s="1367"/>
      <c r="FN753" s="1367"/>
      <c r="FO753" s="1367">
        <f>SUM(FO718:FS752)</f>
        <v>14186</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 customHeight="1">
      <c r="A754"/>
      <c r="B754" s="1722" t="s">
        <v>1895</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1862</v>
      </c>
      <c r="DO754" s="1351">
        <f>CP753+CU753+CZ753+DE753+DJ753+DO753</f>
        <v>49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22</v>
      </c>
      <c r="CZ755" s="3"/>
      <c r="DA755" s="3"/>
      <c r="DB755" s="3"/>
      <c r="DC755" s="3"/>
      <c r="DD755" s="861">
        <f>CZ753*2</f>
        <v>28</v>
      </c>
      <c r="DE755" s="3"/>
      <c r="DF755" s="3"/>
      <c r="DG755" s="3"/>
      <c r="DH755" s="3"/>
      <c r="DI755" s="861">
        <f>DE753*3</f>
        <v>39</v>
      </c>
      <c r="DJ755" s="3"/>
      <c r="DK755" s="3"/>
      <c r="DL755" s="3"/>
      <c r="DM755" s="3"/>
      <c r="DN755" s="861">
        <f>DJ753*4</f>
        <v>0</v>
      </c>
      <c r="DO755" s="3"/>
      <c r="DP755" s="3"/>
      <c r="DQ755" s="3"/>
      <c r="DR755" s="3"/>
      <c r="DS755" s="861">
        <f>DO753*5</f>
        <v>0</v>
      </c>
      <c r="DU755" s="861">
        <f>CT755+CY755+DD755+DI755+DN755+DS755</f>
        <v>89</v>
      </c>
      <c r="DV755" s="57" t="s">
        <v>1864</v>
      </c>
      <c r="DW755" s="3"/>
      <c r="DX755" s="3"/>
      <c r="DY755" s="3"/>
      <c r="DZ755" s="3"/>
      <c r="EA755" s="3"/>
      <c r="EB755" s="3"/>
      <c r="EC755" s="3"/>
      <c r="ED755" s="3"/>
      <c r="EE755" s="3"/>
      <c r="EF755" s="3"/>
      <c r="EG755" s="3"/>
      <c r="EH755" s="3"/>
    </row>
    <row r="756" spans="1:185" ht="12.9" customHeight="1">
      <c r="A756" s="3"/>
      <c r="B756" s="3"/>
      <c r="C756" s="118" t="s">
        <v>1893</v>
      </c>
      <c r="D756" s="1032"/>
      <c r="E756" s="1032"/>
      <c r="F756" s="1032"/>
      <c r="G756" s="1033"/>
      <c r="H756" s="1033"/>
      <c r="I756" s="1033"/>
      <c r="J756" s="1033"/>
      <c r="K756" s="1032"/>
      <c r="L756" s="1032"/>
      <c r="M756" s="1032"/>
      <c r="N756" s="1032"/>
      <c r="O756" s="1367">
        <f>DU755</f>
        <v>89</v>
      </c>
      <c r="P756" s="1367"/>
      <c r="Q756" s="1367"/>
      <c r="R756" s="1367"/>
      <c r="S756" s="969"/>
      <c r="T756" s="969"/>
      <c r="U756" s="118" t="s">
        <v>1894</v>
      </c>
      <c r="V756" s="1032"/>
      <c r="W756" s="1032"/>
      <c r="X756" s="1032"/>
      <c r="Y756" s="1033"/>
      <c r="Z756" s="1033"/>
      <c r="AA756" s="1033"/>
      <c r="AB756" s="1033"/>
      <c r="AC756" s="1032"/>
      <c r="AD756" s="1032"/>
      <c r="AE756" s="1032"/>
      <c r="AF756" s="1032"/>
      <c r="AG756" s="1714"/>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592</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494" t="s">
        <v>389</v>
      </c>
      <c r="K769" s="1495"/>
      <c r="L769" s="1495"/>
      <c r="M769" s="1495"/>
      <c r="N769" s="1496"/>
      <c r="O769" s="1602" t="s">
        <v>285</v>
      </c>
      <c r="P769" s="1602"/>
      <c r="Q769" s="1602"/>
      <c r="R769" s="1602"/>
      <c r="S769" s="1602"/>
      <c r="T769" s="1511" t="s">
        <v>1680</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497"/>
      <c r="K770" s="1498"/>
      <c r="L770" s="1498"/>
      <c r="M770" s="1498"/>
      <c r="N770" s="1499"/>
      <c r="O770" s="1602"/>
      <c r="P770" s="1602"/>
      <c r="Q770" s="1602"/>
      <c r="R770" s="1602"/>
      <c r="S770" s="1602"/>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497"/>
      <c r="K771" s="1498"/>
      <c r="L771" s="1498"/>
      <c r="M771" s="1498"/>
      <c r="N771" s="1499"/>
      <c r="O771" s="1602"/>
      <c r="P771" s="1602"/>
      <c r="Q771" s="1602"/>
      <c r="R771" s="1602"/>
      <c r="S771" s="1602"/>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500"/>
      <c r="K772" s="1501"/>
      <c r="L772" s="1501"/>
      <c r="M772" s="1501"/>
      <c r="N772" s="1502"/>
      <c r="O772" s="1602"/>
      <c r="P772" s="1602"/>
      <c r="Q772" s="1602"/>
      <c r="R772" s="1602"/>
      <c r="S772" s="1602"/>
      <c r="T772" s="1610"/>
      <c r="U772" s="1611"/>
      <c r="V772" s="1611"/>
      <c r="W772" s="1612"/>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55" t="s">
        <v>325</v>
      </c>
      <c r="K773" s="1356"/>
      <c r="L773" s="1356"/>
      <c r="M773" s="1356"/>
      <c r="N773" s="1357"/>
      <c r="O773" s="1464">
        <v>1</v>
      </c>
      <c r="P773" s="1464"/>
      <c r="Q773" s="1464"/>
      <c r="R773" s="1464"/>
      <c r="S773" s="1464"/>
      <c r="T773" s="1604">
        <v>453</v>
      </c>
      <c r="U773" s="1605"/>
      <c r="V773" s="1605"/>
      <c r="W773" s="1606"/>
      <c r="X773" s="1468">
        <v>0</v>
      </c>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1</v>
      </c>
      <c r="CV773" s="1354"/>
      <c r="CW773" s="1354"/>
      <c r="CX773" s="1354"/>
      <c r="CY773" s="1354"/>
      <c r="CZ773" s="1354">
        <f>IF(J773="2 Bedrooms",O773,0)</f>
        <v>0</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 customHeight="1">
      <c r="J774" s="1355"/>
      <c r="K774" s="1356"/>
      <c r="L774" s="1356"/>
      <c r="M774" s="1356"/>
      <c r="N774" s="1357"/>
      <c r="O774" s="1464"/>
      <c r="P774" s="1464"/>
      <c r="Q774" s="1464"/>
      <c r="R774" s="1464"/>
      <c r="S774" s="1464"/>
      <c r="T774" s="1604"/>
      <c r="U774" s="1605"/>
      <c r="V774" s="1605"/>
      <c r="W774" s="1606"/>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 customHeight="1">
      <c r="J775" s="1355"/>
      <c r="K775" s="1356"/>
      <c r="L775" s="1356"/>
      <c r="M775" s="1356"/>
      <c r="N775" s="1357"/>
      <c r="O775" s="1464"/>
      <c r="P775" s="1464"/>
      <c r="Q775" s="1464"/>
      <c r="R775" s="1464"/>
      <c r="S775" s="1464"/>
      <c r="T775" s="1604"/>
      <c r="U775" s="1605"/>
      <c r="V775" s="1605"/>
      <c r="W775" s="1606"/>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 customHeight="1">
      <c r="J776" s="1355"/>
      <c r="K776" s="1356"/>
      <c r="L776" s="1356"/>
      <c r="M776" s="1356"/>
      <c r="N776" s="1357"/>
      <c r="O776" s="1464"/>
      <c r="P776" s="1464"/>
      <c r="Q776" s="1464"/>
      <c r="R776" s="1464"/>
      <c r="S776" s="1464"/>
      <c r="T776" s="1604"/>
      <c r="U776" s="1605"/>
      <c r="V776" s="1605"/>
      <c r="W776" s="1606"/>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1</v>
      </c>
      <c r="CV777" s="1349"/>
      <c r="CW777" s="1349"/>
      <c r="CX777" s="1349"/>
      <c r="CY777" s="1350"/>
      <c r="CZ777" s="1348">
        <f>SUM(CZ773:DD776)</f>
        <v>0</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1861</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1</v>
      </c>
      <c r="DV778" s="57" t="s">
        <v>1863</v>
      </c>
    </row>
    <row r="779" spans="1:126" ht="12.9"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494" t="s">
        <v>389</v>
      </c>
      <c r="K783" s="1495"/>
      <c r="L783" s="1495"/>
      <c r="M783" s="1495"/>
      <c r="N783" s="1496"/>
      <c r="O783" s="1602" t="s">
        <v>285</v>
      </c>
      <c r="P783" s="1602"/>
      <c r="Q783" s="1602"/>
      <c r="R783" s="1602"/>
      <c r="S783" s="1602"/>
      <c r="T783" s="1511" t="s">
        <v>1680</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497"/>
      <c r="K784" s="1498"/>
      <c r="L784" s="1498"/>
      <c r="M784" s="1498"/>
      <c r="N784" s="1499"/>
      <c r="O784" s="1602"/>
      <c r="P784" s="1602"/>
      <c r="Q784" s="1602"/>
      <c r="R784" s="1602"/>
      <c r="S784" s="1602"/>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497"/>
      <c r="K785" s="1498"/>
      <c r="L785" s="1498"/>
      <c r="M785" s="1498"/>
      <c r="N785" s="1499"/>
      <c r="O785" s="1602"/>
      <c r="P785" s="1602"/>
      <c r="Q785" s="1602"/>
      <c r="R785" s="1602"/>
      <c r="S785" s="1602"/>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500"/>
      <c r="K786" s="1501"/>
      <c r="L786" s="1501"/>
      <c r="M786" s="1501"/>
      <c r="N786" s="1502"/>
      <c r="O786" s="1602"/>
      <c r="P786" s="1602"/>
      <c r="Q786" s="1602"/>
      <c r="R786" s="1602"/>
      <c r="S786" s="1602"/>
      <c r="T786" s="1610"/>
      <c r="U786" s="1611"/>
      <c r="V786" s="1611"/>
      <c r="W786" s="1612"/>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 customHeight="1">
      <c r="J787" s="1355"/>
      <c r="K787" s="1356"/>
      <c r="L787" s="1356"/>
      <c r="M787" s="1356"/>
      <c r="N787" s="1357"/>
      <c r="O787" s="1464"/>
      <c r="P787" s="1464"/>
      <c r="Q787" s="1464"/>
      <c r="R787" s="1464"/>
      <c r="S787" s="1464"/>
      <c r="T787" s="1604"/>
      <c r="U787" s="1605"/>
      <c r="V787" s="1605"/>
      <c r="W787" s="1606"/>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 customHeight="1">
      <c r="A788"/>
      <c r="B788"/>
      <c r="C788"/>
      <c r="D788"/>
      <c r="E788"/>
      <c r="F788"/>
      <c r="G788"/>
      <c r="H788"/>
      <c r="I788"/>
      <c r="J788" s="1355"/>
      <c r="K788" s="1356"/>
      <c r="L788" s="1356"/>
      <c r="M788" s="1356"/>
      <c r="N788" s="1357"/>
      <c r="O788" s="1464"/>
      <c r="P788" s="1464"/>
      <c r="Q788" s="1464"/>
      <c r="R788" s="1464"/>
      <c r="S788" s="1464"/>
      <c r="T788" s="1604"/>
      <c r="U788" s="1605"/>
      <c r="V788" s="1605"/>
      <c r="W788" s="1606"/>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 customHeight="1">
      <c r="A789"/>
      <c r="B789"/>
      <c r="C789"/>
      <c r="D789"/>
      <c r="E789"/>
      <c r="F789"/>
      <c r="G789"/>
      <c r="H789"/>
      <c r="I789"/>
      <c r="J789" s="1355"/>
      <c r="K789" s="1356"/>
      <c r="L789" s="1356"/>
      <c r="M789" s="1356"/>
      <c r="N789" s="1357"/>
      <c r="O789" s="1464"/>
      <c r="P789" s="1464"/>
      <c r="Q789" s="1464"/>
      <c r="R789" s="1464"/>
      <c r="S789" s="1464"/>
      <c r="T789" s="1604"/>
      <c r="U789" s="1605"/>
      <c r="V789" s="1605"/>
      <c r="W789" s="1606"/>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 customHeight="1">
      <c r="A790"/>
      <c r="B790"/>
      <c r="C790"/>
      <c r="D790"/>
      <c r="E790"/>
      <c r="F790"/>
      <c r="G790"/>
      <c r="H790"/>
      <c r="I790"/>
      <c r="J790" s="1355"/>
      <c r="K790" s="1356"/>
      <c r="L790" s="1356"/>
      <c r="M790" s="1356"/>
      <c r="N790" s="1357"/>
      <c r="O790" s="1464"/>
      <c r="P790" s="1464"/>
      <c r="Q790" s="1464"/>
      <c r="R790" s="1464"/>
      <c r="S790" s="1464"/>
      <c r="T790" s="1604"/>
      <c r="U790" s="1605"/>
      <c r="V790" s="1605"/>
      <c r="W790" s="1606"/>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 customHeight="1">
      <c r="A791"/>
      <c r="B791"/>
      <c r="C791"/>
      <c r="D791"/>
      <c r="E791"/>
      <c r="F791"/>
      <c r="G791"/>
      <c r="H791"/>
      <c r="I791"/>
      <c r="J791" s="1355"/>
      <c r="K791" s="1356"/>
      <c r="L791" s="1356"/>
      <c r="M791" s="1356"/>
      <c r="N791" s="1357"/>
      <c r="O791" s="1464"/>
      <c r="P791" s="1464"/>
      <c r="Q791" s="1464"/>
      <c r="R791" s="1464"/>
      <c r="S791" s="1464"/>
      <c r="T791" s="1604"/>
      <c r="U791" s="1605"/>
      <c r="V791" s="1605"/>
      <c r="W791" s="1606"/>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 customHeight="1">
      <c r="A792"/>
      <c r="B792"/>
      <c r="C792"/>
      <c r="D792"/>
      <c r="E792"/>
      <c r="F792"/>
      <c r="G792"/>
      <c r="H792"/>
      <c r="I792"/>
      <c r="J792" s="1355"/>
      <c r="K792" s="1356"/>
      <c r="L792" s="1356"/>
      <c r="M792" s="1356"/>
      <c r="N792" s="1357"/>
      <c r="O792" s="1464"/>
      <c r="P792" s="1464"/>
      <c r="Q792" s="1464"/>
      <c r="R792" s="1464"/>
      <c r="S792" s="1464"/>
      <c r="T792" s="1604"/>
      <c r="U792" s="1605"/>
      <c r="V792" s="1605"/>
      <c r="W792" s="1606"/>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 customHeight="1">
      <c r="A793"/>
      <c r="B793"/>
      <c r="C793"/>
      <c r="D793"/>
      <c r="E793"/>
      <c r="F793"/>
      <c r="G793"/>
      <c r="H793"/>
      <c r="I793"/>
      <c r="J793" s="1355"/>
      <c r="K793" s="1356"/>
      <c r="L793" s="1356"/>
      <c r="M793" s="1356"/>
      <c r="N793" s="1357"/>
      <c r="O793" s="1464"/>
      <c r="P793" s="1464"/>
      <c r="Q793" s="1464"/>
      <c r="R793" s="1464"/>
      <c r="S793" s="1464"/>
      <c r="T793" s="1604"/>
      <c r="U793" s="1605"/>
      <c r="V793" s="1605"/>
      <c r="W793" s="1606"/>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 customHeight="1">
      <c r="A794"/>
      <c r="B794"/>
      <c r="C794"/>
      <c r="D794"/>
      <c r="E794"/>
      <c r="F794"/>
      <c r="G794"/>
      <c r="H794"/>
      <c r="I794"/>
      <c r="J794" s="1355"/>
      <c r="K794" s="1356"/>
      <c r="L794" s="1356"/>
      <c r="M794" s="1356"/>
      <c r="N794" s="1357"/>
      <c r="O794" s="1464"/>
      <c r="P794" s="1464"/>
      <c r="Q794" s="1464"/>
      <c r="R794" s="1464"/>
      <c r="S794" s="1464"/>
      <c r="T794" s="1604"/>
      <c r="U794" s="1605"/>
      <c r="V794" s="1605"/>
      <c r="W794" s="1606"/>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 customHeight="1">
      <c r="A795"/>
      <c r="B795"/>
      <c r="C795"/>
      <c r="D795"/>
      <c r="E795"/>
      <c r="F795"/>
      <c r="G795"/>
      <c r="H795"/>
      <c r="I795"/>
      <c r="J795" s="1355"/>
      <c r="K795" s="1356"/>
      <c r="L795" s="1356"/>
      <c r="M795" s="1356"/>
      <c r="N795" s="1357"/>
      <c r="O795" s="1464"/>
      <c r="P795" s="1464"/>
      <c r="Q795" s="1464"/>
      <c r="R795" s="1464"/>
      <c r="S795" s="1464"/>
      <c r="T795" s="1604"/>
      <c r="U795" s="1605"/>
      <c r="V795" s="1605"/>
      <c r="W795" s="1606"/>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 customHeight="1">
      <c r="A796"/>
      <c r="B796"/>
      <c r="C796"/>
      <c r="D796"/>
      <c r="E796"/>
      <c r="F796"/>
      <c r="G796"/>
      <c r="H796"/>
      <c r="I796"/>
      <c r="J796" s="1355"/>
      <c r="K796" s="1356"/>
      <c r="L796" s="1356"/>
      <c r="M796" s="1356"/>
      <c r="N796" s="1357"/>
      <c r="O796" s="1464"/>
      <c r="P796" s="1464"/>
      <c r="Q796" s="1464"/>
      <c r="R796" s="1464"/>
      <c r="S796" s="1464"/>
      <c r="T796" s="1604"/>
      <c r="U796" s="1605"/>
      <c r="V796" s="1605"/>
      <c r="W796" s="1606"/>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 customHeight="1">
      <c r="A797"/>
      <c r="B797"/>
      <c r="C797"/>
      <c r="D797"/>
      <c r="E797"/>
      <c r="F797"/>
      <c r="G797"/>
      <c r="H797"/>
      <c r="I797"/>
      <c r="J797" s="1408" t="s">
        <v>125</v>
      </c>
      <c r="K797" s="1409"/>
      <c r="L797" s="1409"/>
      <c r="M797" s="1409"/>
      <c r="N797" s="1411"/>
      <c r="O797" s="1624">
        <f>SUM(O787:S796)</f>
        <v>0</v>
      </c>
      <c r="P797" s="1624"/>
      <c r="Q797" s="1624"/>
      <c r="R797" s="1624"/>
      <c r="S797" s="1624"/>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01">
        <f>O753+AC777+AC797</f>
        <v>86656</v>
      </c>
      <c r="Z800" s="1601"/>
      <c r="AA800" s="1601"/>
      <c r="AB800" s="1601"/>
      <c r="AC800" s="1601"/>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1">
        <f>(O753+AC777+AC797)*12</f>
        <v>1039872</v>
      </c>
      <c r="Z801" s="1601"/>
      <c r="AA801" s="1601"/>
      <c r="AB801" s="1601"/>
      <c r="AC801" s="1601"/>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23</v>
      </c>
      <c r="CV802" s="1349"/>
      <c r="CW802" s="1349"/>
      <c r="CX802" s="1349"/>
      <c r="CY802" s="1350"/>
      <c r="CZ802" s="1348">
        <f>CZ753+CZ777+CZ797</f>
        <v>14</v>
      </c>
      <c r="DA802" s="1349"/>
      <c r="DB802" s="1349"/>
      <c r="DC802" s="1349"/>
      <c r="DD802" s="1350"/>
      <c r="DE802" s="1348">
        <f>DE753+DE777+DE797</f>
        <v>13</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89</v>
      </c>
      <c r="DV802" s="57" t="s">
        <v>1865</v>
      </c>
    </row>
    <row r="803" spans="1:126" s="4" customFormat="1" ht="12.9"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3">
        <v>15</v>
      </c>
      <c r="AA806" s="1608"/>
      <c r="AB806" s="1608"/>
      <c r="AC806" s="1608"/>
      <c r="AD806" s="1608"/>
      <c r="AE806" s="160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7">
        <v>20</v>
      </c>
      <c r="AA807" s="1608"/>
      <c r="AB807" s="1608"/>
      <c r="AC807" s="1608"/>
      <c r="AD807" s="1608"/>
      <c r="AE807" s="160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2">
        <v>53724</v>
      </c>
      <c r="AA808" s="1520"/>
      <c r="AB808" s="1520"/>
      <c r="AC808" s="1520"/>
      <c r="AD808" s="1520"/>
      <c r="AE808" s="16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492576</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6600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642" t="s">
        <v>334</v>
      </c>
      <c r="Q816" s="1643"/>
      <c r="R816" s="1643"/>
      <c r="S816" s="1643"/>
      <c r="T816" s="1643"/>
      <c r="U816" s="1643"/>
      <c r="V816" s="1643"/>
      <c r="W816" s="1643"/>
      <c r="X816" s="1643"/>
      <c r="Y816" s="1644"/>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6600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1539048</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686" t="s">
        <v>126</v>
      </c>
      <c r="N823" s="1686"/>
      <c r="O823" s="1686"/>
      <c r="P823" s="1687"/>
      <c r="Q823" s="1621" t="s">
        <v>290</v>
      </c>
      <c r="R823" s="1621"/>
      <c r="S823" s="1621"/>
      <c r="T823" s="1621"/>
      <c r="U823" s="1621" t="s">
        <v>291</v>
      </c>
      <c r="V823" s="1621"/>
      <c r="W823" s="1621"/>
      <c r="X823" s="1621"/>
      <c r="Y823" s="1621" t="s">
        <v>292</v>
      </c>
      <c r="Z823" s="1621"/>
      <c r="AA823" s="1621"/>
      <c r="AB823" s="1621"/>
      <c r="AC823" s="1621" t="s">
        <v>361</v>
      </c>
      <c r="AD823" s="1621"/>
      <c r="AE823" s="1621"/>
      <c r="AF823" s="1621"/>
      <c r="AG823" s="1616" t="s">
        <v>335</v>
      </c>
      <c r="AH823" s="1616"/>
      <c r="AI823" s="1616"/>
      <c r="AJ823" s="1616"/>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688"/>
      <c r="N824" s="1688"/>
      <c r="O824" s="1688"/>
      <c r="P824" s="1689"/>
      <c r="Q824" s="1621"/>
      <c r="R824" s="1621"/>
      <c r="S824" s="1621"/>
      <c r="T824" s="1621"/>
      <c r="U824" s="1621"/>
      <c r="V824" s="1621"/>
      <c r="W824" s="1621"/>
      <c r="X824" s="1621"/>
      <c r="Y824" s="1621"/>
      <c r="Z824" s="1621"/>
      <c r="AA824" s="1621"/>
      <c r="AB824" s="1621"/>
      <c r="AC824" s="1621"/>
      <c r="AD824" s="1621"/>
      <c r="AE824" s="1621"/>
      <c r="AF824" s="1621"/>
      <c r="AG824" s="1616"/>
      <c r="AH824" s="1616"/>
      <c r="AI824" s="1616"/>
      <c r="AJ824" s="1616"/>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603" t="s">
        <v>40</v>
      </c>
      <c r="D825" s="1483"/>
      <c r="E825" s="1483"/>
      <c r="F825" s="1483"/>
      <c r="G825" s="1483"/>
      <c r="H825" s="1483"/>
      <c r="I825" s="48"/>
      <c r="J825" s="48"/>
      <c r="K825" s="48"/>
      <c r="L825" s="49"/>
      <c r="M825" s="1600"/>
      <c r="N825" s="1600"/>
      <c r="O825" s="1600"/>
      <c r="P825" s="1600"/>
      <c r="Q825" s="1600">
        <v>48</v>
      </c>
      <c r="R825" s="1600"/>
      <c r="S825" s="1600"/>
      <c r="T825" s="1600"/>
      <c r="U825" s="1600">
        <v>61</v>
      </c>
      <c r="V825" s="1600"/>
      <c r="W825" s="1600"/>
      <c r="X825" s="1600"/>
      <c r="Y825" s="1600">
        <v>74</v>
      </c>
      <c r="Z825" s="1600"/>
      <c r="AA825" s="1600"/>
      <c r="AB825" s="1600"/>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504" t="s">
        <v>41</v>
      </c>
      <c r="D826" s="1441"/>
      <c r="E826" s="1441"/>
      <c r="F826" s="1441"/>
      <c r="G826" s="1441"/>
      <c r="H826" s="1441"/>
      <c r="I826" s="5"/>
      <c r="J826" s="5"/>
      <c r="K826" s="5"/>
      <c r="L826" s="46"/>
      <c r="M826" s="1600"/>
      <c r="N826" s="1600"/>
      <c r="O826" s="1600"/>
      <c r="P826" s="1600"/>
      <c r="Q826" s="1600"/>
      <c r="R826" s="1600"/>
      <c r="S826" s="1600"/>
      <c r="T826" s="1600"/>
      <c r="U826" s="1600"/>
      <c r="V826" s="1600"/>
      <c r="W826" s="1600"/>
      <c r="X826" s="1600"/>
      <c r="Y826" s="1600"/>
      <c r="Z826" s="1600"/>
      <c r="AA826" s="1600"/>
      <c r="AB826" s="1600"/>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504" t="s">
        <v>42</v>
      </c>
      <c r="D827" s="1441"/>
      <c r="E827" s="1441"/>
      <c r="F827" s="1441"/>
      <c r="G827" s="1441"/>
      <c r="H827" s="1441"/>
      <c r="I827" s="60"/>
      <c r="J827" s="60"/>
      <c r="K827" s="60"/>
      <c r="L827" s="61"/>
      <c r="M827" s="1600"/>
      <c r="N827" s="1600"/>
      <c r="O827" s="1600"/>
      <c r="P827" s="1600"/>
      <c r="Q827" s="1600">
        <v>21</v>
      </c>
      <c r="R827" s="1600"/>
      <c r="S827" s="1600"/>
      <c r="T827" s="1600"/>
      <c r="U827" s="1600">
        <v>30</v>
      </c>
      <c r="V827" s="1600"/>
      <c r="W827" s="1600"/>
      <c r="X827" s="1600"/>
      <c r="Y827" s="1600">
        <v>39</v>
      </c>
      <c r="Z827" s="1600"/>
      <c r="AA827" s="1600"/>
      <c r="AB827" s="1600"/>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504" t="s">
        <v>763</v>
      </c>
      <c r="D828" s="1441"/>
      <c r="E828" s="1441"/>
      <c r="F828" s="1441"/>
      <c r="G828" s="1441"/>
      <c r="H828" s="1441"/>
      <c r="I828" s="60"/>
      <c r="J828" s="60"/>
      <c r="K828" s="60"/>
      <c r="L828" s="61"/>
      <c r="M828" s="1600"/>
      <c r="N828" s="1600"/>
      <c r="O828" s="1600"/>
      <c r="P828" s="1600"/>
      <c r="Q828" s="1600"/>
      <c r="R828" s="1600"/>
      <c r="S828" s="1600"/>
      <c r="T828" s="1600"/>
      <c r="U828" s="1600"/>
      <c r="V828" s="1600"/>
      <c r="W828" s="1600"/>
      <c r="X828" s="1600"/>
      <c r="Y828" s="1600"/>
      <c r="Z828" s="1600"/>
      <c r="AA828" s="1600"/>
      <c r="AB828" s="1600"/>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504" t="s">
        <v>460</v>
      </c>
      <c r="D829" s="1441"/>
      <c r="E829" s="1441"/>
      <c r="F829" s="1441"/>
      <c r="G829" s="1441"/>
      <c r="H829" s="1441"/>
      <c r="I829" s="60"/>
      <c r="J829" s="60"/>
      <c r="K829" s="60"/>
      <c r="L829" s="61"/>
      <c r="M829" s="1600"/>
      <c r="N829" s="1600"/>
      <c r="O829" s="1600"/>
      <c r="P829" s="1600"/>
      <c r="Q829" s="1600">
        <v>69</v>
      </c>
      <c r="R829" s="1600"/>
      <c r="S829" s="1600"/>
      <c r="T829" s="1600"/>
      <c r="U829" s="1600">
        <v>100</v>
      </c>
      <c r="V829" s="1600"/>
      <c r="W829" s="1600"/>
      <c r="X829" s="1600"/>
      <c r="Y829" s="1600">
        <v>135</v>
      </c>
      <c r="Z829" s="1600"/>
      <c r="AA829" s="1600"/>
      <c r="AB829" s="1600"/>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700" t="s">
        <v>784</v>
      </c>
      <c r="D830" s="1441"/>
      <c r="E830" s="1441"/>
      <c r="F830" s="1441"/>
      <c r="G830" s="1441"/>
      <c r="H830" s="1441"/>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642" t="s">
        <v>334</v>
      </c>
      <c r="G831" s="1643"/>
      <c r="H831" s="1643"/>
      <c r="I831" s="1643"/>
      <c r="J831" s="1643"/>
      <c r="K831" s="1643"/>
      <c r="L831" s="1643"/>
      <c r="M831" s="1600"/>
      <c r="N831" s="1600"/>
      <c r="O831" s="1600"/>
      <c r="P831" s="1600"/>
      <c r="Q831" s="1600"/>
      <c r="R831" s="1600"/>
      <c r="S831" s="1600"/>
      <c r="T831" s="1600"/>
      <c r="U831" s="1600"/>
      <c r="V831" s="1600"/>
      <c r="W831" s="1600"/>
      <c r="X831" s="1600"/>
      <c r="Y831" s="1600"/>
      <c r="Z831" s="1600"/>
      <c r="AA831" s="1600"/>
      <c r="AB831" s="1600"/>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08" t="s">
        <v>124</v>
      </c>
      <c r="D832" s="1409"/>
      <c r="E832" s="1409"/>
      <c r="F832" s="1409"/>
      <c r="G832" s="1409"/>
      <c r="H832" s="1409"/>
      <c r="I832" s="1409"/>
      <c r="J832" s="1409"/>
      <c r="K832" s="1409"/>
      <c r="L832" s="1411"/>
      <c r="M832" s="1649">
        <f>SUM(M825:P831)</f>
        <v>0</v>
      </c>
      <c r="N832" s="1649"/>
      <c r="O832" s="1649"/>
      <c r="P832" s="1649"/>
      <c r="Q832" s="1649">
        <f>SUM(Q825:T831)</f>
        <v>138</v>
      </c>
      <c r="R832" s="1649"/>
      <c r="S832" s="1649"/>
      <c r="T832" s="1649"/>
      <c r="U832" s="1649">
        <f>SUM(U825:X831)</f>
        <v>191</v>
      </c>
      <c r="V832" s="1649"/>
      <c r="W832" s="1649"/>
      <c r="X832" s="1649"/>
      <c r="Y832" s="1649">
        <f>SUM(Y825:AB831)</f>
        <v>248</v>
      </c>
      <c r="Z832" s="1649"/>
      <c r="AA832" s="1649"/>
      <c r="AB832" s="1649"/>
      <c r="AC832" s="1649">
        <f>SUM(AC825:AF831)</f>
        <v>0</v>
      </c>
      <c r="AD832" s="1649"/>
      <c r="AE832" s="1649"/>
      <c r="AF832" s="1649"/>
      <c r="AG832" s="1649">
        <f>SUM(AG825:AJ831)</f>
        <v>0</v>
      </c>
      <c r="AH832" s="1649"/>
      <c r="AI832" s="1649"/>
      <c r="AJ832" s="1649"/>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655" t="s">
        <v>2717</v>
      </c>
      <c r="D837" s="1656"/>
      <c r="E837" s="1656"/>
      <c r="F837" s="1656"/>
      <c r="G837" s="1656"/>
      <c r="H837" s="1656"/>
      <c r="I837" s="1656"/>
      <c r="J837" s="1656"/>
      <c r="K837" s="1656"/>
      <c r="L837" s="1656"/>
      <c r="M837" s="1656"/>
      <c r="N837" s="1656"/>
      <c r="O837" s="1656"/>
      <c r="P837" s="1656"/>
      <c r="Q837" s="1656"/>
      <c r="R837" s="1656"/>
      <c r="S837" s="1656"/>
      <c r="T837" s="1656"/>
      <c r="U837" s="1656"/>
      <c r="V837" s="1656"/>
      <c r="W837" s="1656"/>
      <c r="X837" s="1656"/>
      <c r="Y837" s="1656"/>
      <c r="Z837" s="1656"/>
      <c r="AA837" s="1656"/>
      <c r="AB837" s="1656"/>
      <c r="AC837" s="1656"/>
      <c r="AD837" s="1656"/>
      <c r="AE837" s="1656"/>
      <c r="AF837" s="1656"/>
      <c r="AG837" s="1656"/>
      <c r="AH837" s="1656"/>
      <c r="AI837" s="1656"/>
      <c r="AJ837" s="1657"/>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638">
        <v>1500</v>
      </c>
      <c r="X842" s="1638"/>
      <c r="Y842" s="1638"/>
      <c r="Z842" s="1638"/>
      <c r="AA842" s="1638"/>
      <c r="AB842" s="1638"/>
      <c r="AC842" s="1638"/>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638">
        <v>2500</v>
      </c>
      <c r="X843" s="1638"/>
      <c r="Y843" s="1638"/>
      <c r="Z843" s="1638"/>
      <c r="AA843" s="1638"/>
      <c r="AB843" s="1638"/>
      <c r="AC843" s="1638"/>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638">
        <v>11500</v>
      </c>
      <c r="X844" s="1638"/>
      <c r="Y844" s="1638"/>
      <c r="Z844" s="1638"/>
      <c r="AA844" s="1638"/>
      <c r="AB844" s="1638"/>
      <c r="AC844" s="1638"/>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638"/>
      <c r="X845" s="1638"/>
      <c r="Y845" s="1638"/>
      <c r="Z845" s="1638"/>
      <c r="AA845" s="1638"/>
      <c r="AB845" s="1638"/>
      <c r="AC845" s="1638"/>
      <c r="AZ845" s="30"/>
      <c r="BA845" s="30"/>
      <c r="BB845" s="14"/>
      <c r="BC845" s="14"/>
      <c r="BD845" s="14"/>
      <c r="BE845" s="14"/>
      <c r="BF845" s="14"/>
      <c r="BG845" s="14"/>
      <c r="BH845" s="14"/>
      <c r="BI845" s="14"/>
      <c r="BJ845" s="14"/>
      <c r="BK845" s="14"/>
      <c r="BL845" s="14"/>
    </row>
    <row r="846" spans="1:64" ht="12.9" customHeight="1">
      <c r="J846" s="45" t="s">
        <v>170</v>
      </c>
      <c r="K846" s="5"/>
      <c r="L846" s="5"/>
      <c r="M846" s="1642" t="s">
        <v>334</v>
      </c>
      <c r="N846" s="1643"/>
      <c r="O846" s="1643"/>
      <c r="P846" s="1643"/>
      <c r="Q846" s="1643"/>
      <c r="R846" s="1643"/>
      <c r="S846" s="1643"/>
      <c r="T846" s="1643"/>
      <c r="U846" s="1643"/>
      <c r="V846" s="1644"/>
      <c r="W846" s="1638"/>
      <c r="X846" s="1638"/>
      <c r="Y846" s="1638"/>
      <c r="Z846" s="1638"/>
      <c r="AA846" s="1638"/>
      <c r="AB846" s="1638"/>
      <c r="AC846" s="1638"/>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472">
        <f>SUM(W842:W846)</f>
        <v>15500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4"/>
      <c r="BH848" s="1634"/>
      <c r="BI848" s="1634"/>
      <c r="BJ848" s="1634"/>
      <c r="BK848" s="1634"/>
      <c r="BL848" s="1634"/>
    </row>
    <row r="849" spans="3:55" ht="12.9" customHeight="1">
      <c r="C849" s="2" t="s">
        <v>344</v>
      </c>
      <c r="J849" s="1408" t="s">
        <v>345</v>
      </c>
      <c r="K849" s="1409"/>
      <c r="L849" s="1409"/>
      <c r="M849" s="1409"/>
      <c r="N849" s="1409"/>
      <c r="O849" s="1409"/>
      <c r="P849" s="1409"/>
      <c r="Q849" s="1409"/>
      <c r="R849" s="1409"/>
      <c r="S849" s="1409"/>
      <c r="T849" s="1409"/>
      <c r="U849" s="1409"/>
      <c r="V849" s="1411"/>
      <c r="W849" s="1475">
        <v>65899</v>
      </c>
      <c r="X849" s="1338"/>
      <c r="Y849" s="1338"/>
      <c r="Z849" s="1338"/>
      <c r="AA849" s="1338"/>
      <c r="AB849" s="1338"/>
      <c r="AC849" s="1339"/>
      <c r="AD849" s="533"/>
      <c r="AZ849" s="30"/>
      <c r="BA849" s="30"/>
      <c r="BB849" s="14"/>
      <c r="BC849" s="14"/>
    </row>
    <row r="850" spans="3:55" ht="12.9" customHeight="1">
      <c r="AD850" s="533"/>
      <c r="AZ850" s="30"/>
      <c r="BA850" s="30"/>
      <c r="BB850" s="14"/>
      <c r="BC850" s="14"/>
    </row>
    <row r="851" spans="3:55" ht="12.9" customHeight="1">
      <c r="C851" s="2" t="s">
        <v>562</v>
      </c>
      <c r="J851" s="45" t="s">
        <v>352</v>
      </c>
      <c r="K851" s="5"/>
      <c r="L851" s="5"/>
      <c r="M851" s="5"/>
      <c r="N851" s="5"/>
      <c r="O851" s="5"/>
      <c r="P851" s="5"/>
      <c r="Q851" s="5"/>
      <c r="R851" s="5"/>
      <c r="S851" s="5"/>
      <c r="T851" s="5"/>
      <c r="U851" s="5"/>
      <c r="V851" s="46"/>
      <c r="W851" s="1653"/>
      <c r="X851" s="1653"/>
      <c r="Y851" s="1653"/>
      <c r="Z851" s="1653"/>
      <c r="AA851" s="1653"/>
      <c r="AB851" s="1653"/>
      <c r="AC851" s="1653"/>
      <c r="AZ851" s="1620"/>
      <c r="BA851" s="1620"/>
      <c r="BB851" s="14"/>
      <c r="BC851" s="14"/>
    </row>
    <row r="852" spans="3:55" ht="12.9" customHeight="1">
      <c r="J852" s="45" t="s">
        <v>351</v>
      </c>
      <c r="K852" s="5"/>
      <c r="L852" s="5"/>
      <c r="M852" s="5"/>
      <c r="N852" s="5"/>
      <c r="O852" s="5"/>
      <c r="P852" s="5"/>
      <c r="Q852" s="5"/>
      <c r="R852" s="5"/>
      <c r="S852" s="5"/>
      <c r="T852" s="5"/>
      <c r="U852" s="5"/>
      <c r="V852" s="46"/>
      <c r="W852" s="1653"/>
      <c r="X852" s="1653"/>
      <c r="Y852" s="1653"/>
      <c r="Z852" s="1653"/>
      <c r="AA852" s="1653"/>
      <c r="AB852" s="1653"/>
      <c r="AC852" s="1653"/>
      <c r="AZ852" s="30"/>
      <c r="BA852" s="30"/>
      <c r="BB852" s="14"/>
      <c r="BC852" s="14"/>
    </row>
    <row r="853" spans="3:55" ht="12.9" customHeight="1">
      <c r="J853" s="45" t="s">
        <v>460</v>
      </c>
      <c r="K853" s="5"/>
      <c r="L853" s="5"/>
      <c r="M853" s="5"/>
      <c r="N853" s="5"/>
      <c r="O853" s="5"/>
      <c r="P853" s="5"/>
      <c r="Q853" s="5"/>
      <c r="R853" s="5"/>
      <c r="S853" s="5"/>
      <c r="T853" s="5"/>
      <c r="U853" s="5"/>
      <c r="V853" s="46"/>
      <c r="W853" s="1653">
        <v>75000</v>
      </c>
      <c r="X853" s="1653"/>
      <c r="Y853" s="1653"/>
      <c r="Z853" s="1653"/>
      <c r="AA853" s="1653"/>
      <c r="AB853" s="1653"/>
      <c r="AC853" s="1653"/>
      <c r="AZ853" s="30"/>
      <c r="BA853" s="30"/>
      <c r="BB853" s="14"/>
      <c r="BC853" s="14"/>
    </row>
    <row r="854" spans="3:55" ht="12.9" customHeight="1">
      <c r="J854" s="62" t="s">
        <v>621</v>
      </c>
      <c r="K854" s="5"/>
      <c r="L854" s="5"/>
      <c r="M854" s="5"/>
      <c r="N854" s="5"/>
      <c r="O854" s="5"/>
      <c r="P854" s="5"/>
      <c r="Q854" s="5"/>
      <c r="R854" s="5"/>
      <c r="S854" s="5"/>
      <c r="T854" s="5"/>
      <c r="U854" s="5"/>
      <c r="V854" s="46"/>
      <c r="W854" s="1653">
        <v>50000</v>
      </c>
      <c r="X854" s="1653"/>
      <c r="Y854" s="1653"/>
      <c r="Z854" s="1653"/>
      <c r="AA854" s="1653"/>
      <c r="AB854" s="1653"/>
      <c r="AC854" s="1653"/>
      <c r="AZ854" s="34"/>
      <c r="BA854" s="34"/>
      <c r="BB854" s="34"/>
      <c r="BC854" s="34"/>
    </row>
    <row r="855" spans="3:55" ht="12.9" customHeight="1">
      <c r="J855" s="63"/>
      <c r="K855" s="48"/>
      <c r="L855" s="48"/>
      <c r="M855" s="48"/>
      <c r="N855" s="48"/>
      <c r="O855" s="48"/>
      <c r="P855" s="48"/>
      <c r="Q855" s="48"/>
      <c r="R855" s="48"/>
      <c r="S855" s="48"/>
      <c r="T855" s="48"/>
      <c r="U855" s="48"/>
      <c r="V855" s="54" t="s">
        <v>272</v>
      </c>
      <c r="W855" s="1654">
        <f>SUM(W851:W854)</f>
        <v>125000</v>
      </c>
      <c r="X855" s="1654"/>
      <c r="Y855" s="1654"/>
      <c r="Z855" s="1654"/>
      <c r="AA855" s="1654"/>
      <c r="AB855" s="1654"/>
      <c r="AC855" s="1654"/>
      <c r="AZ855" s="34"/>
      <c r="BA855" s="34"/>
      <c r="BB855" s="34"/>
      <c r="BC855" s="34"/>
    </row>
    <row r="856" spans="3:55" ht="12.9" customHeight="1">
      <c r="AZ856" s="34"/>
      <c r="BA856" s="34"/>
      <c r="BB856" s="34"/>
      <c r="BC856" s="34"/>
    </row>
    <row r="857" spans="3:55" ht="12.9" customHeight="1">
      <c r="C857" s="2" t="s">
        <v>346</v>
      </c>
      <c r="J857" s="45" t="s">
        <v>620</v>
      </c>
      <c r="K857" s="5"/>
      <c r="L857" s="5"/>
      <c r="M857" s="5"/>
      <c r="N857" s="5"/>
      <c r="O857" s="5"/>
      <c r="P857" s="5"/>
      <c r="Q857" s="5"/>
      <c r="R857" s="5"/>
      <c r="S857" s="5"/>
      <c r="T857" s="5"/>
      <c r="U857" s="5"/>
      <c r="V857" s="46"/>
      <c r="W857" s="1650">
        <v>60000</v>
      </c>
      <c r="X857" s="1651"/>
      <c r="Y857" s="1651"/>
      <c r="Z857" s="1651"/>
      <c r="AA857" s="1651"/>
      <c r="AB857" s="1651"/>
      <c r="AC857" s="1652"/>
      <c r="AD857" s="528"/>
      <c r="AZ857" s="34"/>
      <c r="BA857" s="34"/>
      <c r="BB857" s="34"/>
      <c r="BC857" s="34"/>
    </row>
    <row r="858" spans="3:55" ht="12.9" customHeight="1">
      <c r="C858" s="2" t="s">
        <v>347</v>
      </c>
      <c r="J858" s="121" t="s">
        <v>1656</v>
      </c>
      <c r="K858" s="5"/>
      <c r="L858" s="5"/>
      <c r="M858" s="5"/>
      <c r="N858" s="5"/>
      <c r="O858" s="5"/>
      <c r="P858" s="5"/>
      <c r="Q858" s="5"/>
      <c r="R858" s="5"/>
      <c r="S858" s="5"/>
      <c r="T858" s="1636">
        <v>1</v>
      </c>
      <c r="U858" s="1599"/>
      <c r="V858" s="1637"/>
      <c r="W858" s="874"/>
      <c r="X858" s="875"/>
      <c r="Y858" s="875"/>
      <c r="Z858" s="875"/>
      <c r="AA858" s="875"/>
      <c r="AB858" s="875"/>
      <c r="AC858" s="876"/>
      <c r="AD858" s="528"/>
      <c r="AZ858" s="34"/>
      <c r="BA858" s="34"/>
      <c r="BB858" s="34"/>
      <c r="BC858" s="34"/>
    </row>
    <row r="859" spans="3:55" ht="12.9" customHeight="1">
      <c r="C859" s="2"/>
      <c r="J859" s="45" t="s">
        <v>619</v>
      </c>
      <c r="K859" s="5"/>
      <c r="L859" s="5"/>
      <c r="M859" s="5"/>
      <c r="N859" s="5"/>
      <c r="O859" s="5"/>
      <c r="P859" s="5"/>
      <c r="Q859" s="5"/>
      <c r="R859" s="5"/>
      <c r="S859" s="5"/>
      <c r="T859" s="5"/>
      <c r="U859" s="5"/>
      <c r="V859" s="46"/>
      <c r="W859" s="1650">
        <v>40000</v>
      </c>
      <c r="X859" s="1651"/>
      <c r="Y859" s="1651"/>
      <c r="Z859" s="1651"/>
      <c r="AA859" s="1651"/>
      <c r="AB859" s="1651"/>
      <c r="AC859" s="1652"/>
      <c r="AD859" s="533"/>
      <c r="AZ859" s="34"/>
      <c r="BA859" s="34"/>
      <c r="BB859" s="34"/>
      <c r="BC859" s="34"/>
    </row>
    <row r="860" spans="3:55" ht="12.9" customHeight="1">
      <c r="C860" s="2"/>
      <c r="J860" s="121" t="s">
        <v>1657</v>
      </c>
      <c r="K860" s="5"/>
      <c r="L860" s="5"/>
      <c r="M860" s="5"/>
      <c r="N860" s="5"/>
      <c r="O860" s="5"/>
      <c r="P860" s="5"/>
      <c r="Q860" s="5"/>
      <c r="R860" s="5"/>
      <c r="S860" s="5"/>
      <c r="T860" s="1636">
        <v>1</v>
      </c>
      <c r="U860" s="1599"/>
      <c r="V860" s="1637"/>
      <c r="W860" s="874"/>
      <c r="X860" s="875"/>
      <c r="Y860" s="875"/>
      <c r="Z860" s="875"/>
      <c r="AA860" s="875"/>
      <c r="AB860" s="875"/>
      <c r="AC860" s="876"/>
      <c r="AD860" s="533"/>
      <c r="AZ860" s="34"/>
      <c r="BA860" s="34"/>
      <c r="BB860" s="34"/>
      <c r="BC860" s="34"/>
    </row>
    <row r="861" spans="3:55" ht="12.9" customHeight="1">
      <c r="J861" s="45" t="s">
        <v>170</v>
      </c>
      <c r="K861" s="5"/>
      <c r="L861" s="5"/>
      <c r="M861" s="1642" t="s">
        <v>2719</v>
      </c>
      <c r="N861" s="1643"/>
      <c r="O861" s="1643"/>
      <c r="P861" s="1643"/>
      <c r="Q861" s="1643"/>
      <c r="R861" s="1643"/>
      <c r="S861" s="1643"/>
      <c r="T861" s="1643"/>
      <c r="U861" s="1643"/>
      <c r="V861" s="1644"/>
      <c r="W861" s="1650">
        <v>35000</v>
      </c>
      <c r="X861" s="1651"/>
      <c r="Y861" s="1651"/>
      <c r="Z861" s="1651"/>
      <c r="AA861" s="1651"/>
      <c r="AB861" s="1651"/>
      <c r="AC861" s="1652"/>
      <c r="AD861" s="528"/>
      <c r="AU861" s="14"/>
      <c r="AZ861" s="34"/>
      <c r="BA861" s="34"/>
      <c r="BB861" s="34"/>
      <c r="BC861" s="34"/>
    </row>
    <row r="862" spans="3:55" ht="12.9" customHeight="1">
      <c r="J862" s="45"/>
      <c r="K862" s="5"/>
      <c r="L862" s="5"/>
      <c r="M862" s="5"/>
      <c r="N862" s="5"/>
      <c r="O862" s="5"/>
      <c r="P862" s="5"/>
      <c r="Q862" s="5"/>
      <c r="R862" s="5"/>
      <c r="S862" s="5"/>
      <c r="T862" s="5"/>
      <c r="U862" s="5"/>
      <c r="V862" s="54" t="s">
        <v>273</v>
      </c>
      <c r="W862" s="1639">
        <f>SUM(W857:W861)</f>
        <v>135000</v>
      </c>
      <c r="X862" s="1640"/>
      <c r="Y862" s="1640"/>
      <c r="Z862" s="1640"/>
      <c r="AA862" s="1640"/>
      <c r="AB862" s="1640"/>
      <c r="AC862" s="1641"/>
      <c r="AD862" s="533"/>
      <c r="AU862" s="14"/>
      <c r="AZ862" s="34"/>
      <c r="BA862" s="34"/>
      <c r="BB862" s="34"/>
      <c r="BC862" s="34"/>
    </row>
    <row r="863" spans="3:55" ht="12.9" customHeight="1">
      <c r="J863" s="45"/>
      <c r="K863" s="5"/>
      <c r="L863" s="5"/>
      <c r="M863" s="5"/>
      <c r="N863" s="5"/>
      <c r="O863" s="5"/>
      <c r="P863" s="5"/>
      <c r="Q863" s="5"/>
      <c r="R863" s="5"/>
      <c r="S863" s="5"/>
      <c r="T863" s="5"/>
      <c r="U863" s="5"/>
      <c r="V863" s="54" t="s">
        <v>274</v>
      </c>
      <c r="W863" s="1650">
        <v>125000</v>
      </c>
      <c r="X863" s="1651"/>
      <c r="Y863" s="1651"/>
      <c r="Z863" s="1651"/>
      <c r="AA863" s="1651"/>
      <c r="AB863" s="1651"/>
      <c r="AC863" s="1652"/>
      <c r="AU863" s="14"/>
      <c r="AZ863" s="34"/>
      <c r="BA863" s="34"/>
      <c r="BB863" s="34"/>
      <c r="BC863" s="34"/>
    </row>
    <row r="864" spans="3:55" ht="12.9" customHeight="1">
      <c r="J864" s="512"/>
      <c r="AU864" s="14"/>
      <c r="AZ864" s="34"/>
      <c r="BA864" s="34"/>
      <c r="BB864" s="34"/>
      <c r="BC864" s="34"/>
    </row>
    <row r="865" spans="3:55" ht="12.9" customHeight="1">
      <c r="C865" s="2" t="s">
        <v>390</v>
      </c>
      <c r="J865" s="45" t="s">
        <v>618</v>
      </c>
      <c r="K865" s="5"/>
      <c r="L865" s="5"/>
      <c r="M865" s="5"/>
      <c r="N865" s="5"/>
      <c r="O865" s="5"/>
      <c r="P865" s="5"/>
      <c r="Q865" s="5"/>
      <c r="R865" s="5"/>
      <c r="S865" s="5"/>
      <c r="T865" s="5"/>
      <c r="U865" s="5"/>
      <c r="V865" s="46"/>
      <c r="W865" s="1638">
        <v>2500</v>
      </c>
      <c r="X865" s="1638"/>
      <c r="Y865" s="1638"/>
      <c r="Z865" s="1638"/>
      <c r="AA865" s="1638"/>
      <c r="AB865" s="1638"/>
      <c r="AC865" s="1638"/>
      <c r="AU865" s="14"/>
      <c r="AZ865" s="34"/>
      <c r="BA865" s="34"/>
      <c r="BB865" s="34"/>
      <c r="BC865" s="34"/>
    </row>
    <row r="866" spans="3:55" ht="12.9" customHeight="1">
      <c r="J866" s="45" t="s">
        <v>523</v>
      </c>
      <c r="K866" s="5"/>
      <c r="L866" s="5"/>
      <c r="M866" s="5"/>
      <c r="N866" s="5"/>
      <c r="O866" s="5"/>
      <c r="P866" s="5"/>
      <c r="Q866" s="5"/>
      <c r="R866" s="5"/>
      <c r="S866" s="5"/>
      <c r="T866" s="5"/>
      <c r="U866" s="5"/>
      <c r="V866" s="46"/>
      <c r="W866" s="1638">
        <v>12500</v>
      </c>
      <c r="X866" s="1638"/>
      <c r="Y866" s="1638"/>
      <c r="Z866" s="1638"/>
      <c r="AA866" s="1638"/>
      <c r="AB866" s="1638"/>
      <c r="AC866" s="1638"/>
      <c r="AU866" s="4"/>
      <c r="AZ866" s="34"/>
      <c r="BA866" s="34"/>
      <c r="BB866" s="34"/>
      <c r="BC866" s="34"/>
    </row>
    <row r="867" spans="3:55" ht="12.9" customHeight="1">
      <c r="J867" s="45" t="s">
        <v>522</v>
      </c>
      <c r="K867" s="5"/>
      <c r="L867" s="5"/>
      <c r="M867" s="5"/>
      <c r="N867" s="5"/>
      <c r="O867" s="5"/>
      <c r="P867" s="5"/>
      <c r="Q867" s="5"/>
      <c r="R867" s="5"/>
      <c r="S867" s="5"/>
      <c r="T867" s="5"/>
      <c r="U867" s="5"/>
      <c r="V867" s="46"/>
      <c r="W867" s="1638">
        <v>26000</v>
      </c>
      <c r="X867" s="1638"/>
      <c r="Y867" s="1638"/>
      <c r="Z867" s="1638"/>
      <c r="AA867" s="1638"/>
      <c r="AB867" s="1638"/>
      <c r="AC867" s="1638"/>
      <c r="AU867" s="4"/>
      <c r="AZ867" s="34"/>
      <c r="BA867" s="34"/>
      <c r="BB867" s="34"/>
      <c r="BC867" s="34"/>
    </row>
    <row r="868" spans="3:55" ht="12.9" customHeight="1">
      <c r="J868" s="45" t="s">
        <v>521</v>
      </c>
      <c r="K868" s="5"/>
      <c r="L868" s="5"/>
      <c r="M868" s="5"/>
      <c r="N868" s="5"/>
      <c r="O868" s="5"/>
      <c r="P868" s="5"/>
      <c r="Q868" s="5"/>
      <c r="R868" s="5"/>
      <c r="S868" s="5"/>
      <c r="T868" s="5"/>
      <c r="U868" s="5"/>
      <c r="V868" s="46"/>
      <c r="W868" s="1638">
        <v>7500</v>
      </c>
      <c r="X868" s="1638"/>
      <c r="Y868" s="1638"/>
      <c r="Z868" s="1638"/>
      <c r="AA868" s="1638"/>
      <c r="AB868" s="1638"/>
      <c r="AC868" s="1638"/>
      <c r="AU868" s="4"/>
      <c r="AZ868" s="34"/>
      <c r="BA868" s="34"/>
      <c r="BB868" s="34"/>
      <c r="BC868" s="34"/>
    </row>
    <row r="869" spans="3:55" ht="12.9" customHeight="1">
      <c r="J869" s="45" t="s">
        <v>520</v>
      </c>
      <c r="K869" s="5"/>
      <c r="L869" s="5"/>
      <c r="M869" s="5"/>
      <c r="N869" s="5"/>
      <c r="O869" s="5"/>
      <c r="P869" s="5"/>
      <c r="Q869" s="5"/>
      <c r="R869" s="5"/>
      <c r="S869" s="5"/>
      <c r="T869" s="5"/>
      <c r="U869" s="5"/>
      <c r="V869" s="46"/>
      <c r="W869" s="1638">
        <v>7500</v>
      </c>
      <c r="X869" s="1638"/>
      <c r="Y869" s="1638"/>
      <c r="Z869" s="1638"/>
      <c r="AA869" s="1638"/>
      <c r="AB869" s="1638"/>
      <c r="AC869" s="1638"/>
      <c r="AU869" s="4"/>
      <c r="AZ869" s="34"/>
      <c r="BA869" s="34"/>
      <c r="BB869" s="34"/>
      <c r="BC869" s="34"/>
    </row>
    <row r="870" spans="3:55" ht="12.9" customHeight="1">
      <c r="J870" s="45" t="s">
        <v>519</v>
      </c>
      <c r="K870" s="5"/>
      <c r="L870" s="5"/>
      <c r="M870" s="5"/>
      <c r="N870" s="5"/>
      <c r="O870" s="5"/>
      <c r="P870" s="5"/>
      <c r="Q870" s="5"/>
      <c r="R870" s="5"/>
      <c r="S870" s="5"/>
      <c r="T870" s="5"/>
      <c r="U870" s="5"/>
      <c r="V870" s="46"/>
      <c r="W870" s="1638">
        <v>9500</v>
      </c>
      <c r="X870" s="1638"/>
      <c r="Y870" s="1638"/>
      <c r="Z870" s="1638"/>
      <c r="AA870" s="1638"/>
      <c r="AB870" s="1638"/>
      <c r="AC870" s="1638"/>
      <c r="AU870" s="4"/>
      <c r="AZ870" s="34"/>
      <c r="BA870" s="34"/>
      <c r="BB870" s="34"/>
      <c r="BC870" s="34"/>
    </row>
    <row r="871" spans="3:55" ht="12.9" customHeight="1">
      <c r="J871" s="45" t="s">
        <v>170</v>
      </c>
      <c r="K871" s="5"/>
      <c r="L871" s="5"/>
      <c r="M871" s="1642" t="s">
        <v>334</v>
      </c>
      <c r="N871" s="1643"/>
      <c r="O871" s="1643"/>
      <c r="P871" s="1643"/>
      <c r="Q871" s="1643"/>
      <c r="R871" s="1643"/>
      <c r="S871" s="1643"/>
      <c r="T871" s="1643"/>
      <c r="U871" s="1643"/>
      <c r="V871" s="1644"/>
      <c r="W871" s="1638"/>
      <c r="X871" s="1638"/>
      <c r="Y871" s="1638"/>
      <c r="Z871" s="1638"/>
      <c r="AA871" s="1638"/>
      <c r="AB871" s="1638"/>
      <c r="AC871" s="1638"/>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601">
        <f>SUM(W865:W871)</f>
        <v>65500</v>
      </c>
      <c r="X872" s="1601"/>
      <c r="Y872" s="1601"/>
      <c r="Z872" s="1601"/>
      <c r="AA872" s="1601"/>
      <c r="AB872" s="1601"/>
      <c r="AC872" s="1601"/>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1244</v>
      </c>
      <c r="J874" s="45" t="s">
        <v>170</v>
      </c>
      <c r="K874" s="5"/>
      <c r="L874" s="5"/>
      <c r="M874" s="1642" t="s">
        <v>334</v>
      </c>
      <c r="N874" s="1643"/>
      <c r="O874" s="1643"/>
      <c r="P874" s="1643"/>
      <c r="Q874" s="1643"/>
      <c r="R874" s="1643"/>
      <c r="S874" s="1643"/>
      <c r="T874" s="1643"/>
      <c r="U874" s="1643"/>
      <c r="V874" s="1644"/>
      <c r="W874" s="1475"/>
      <c r="X874" s="1338"/>
      <c r="Y874" s="1338"/>
      <c r="Z874" s="1338"/>
      <c r="AA874" s="1338"/>
      <c r="AB874" s="1338"/>
      <c r="AC874" s="1339"/>
      <c r="AD874" s="533"/>
      <c r="AV874" s="14"/>
      <c r="AW874" s="14"/>
      <c r="AX874" s="14"/>
      <c r="AY874" s="14"/>
      <c r="AZ874" s="34"/>
      <c r="BA874" s="34"/>
      <c r="BB874" s="34"/>
      <c r="BC874" s="34"/>
    </row>
    <row r="875" spans="3:55" ht="12.9" customHeight="1">
      <c r="C875" s="2" t="s">
        <v>1245</v>
      </c>
      <c r="J875" s="45" t="s">
        <v>170</v>
      </c>
      <c r="K875" s="5"/>
      <c r="L875" s="5"/>
      <c r="M875" s="1642" t="s">
        <v>334</v>
      </c>
      <c r="N875" s="1643"/>
      <c r="O875" s="1643"/>
      <c r="P875" s="1643"/>
      <c r="Q875" s="1643"/>
      <c r="R875" s="1643"/>
      <c r="S875" s="1643"/>
      <c r="T875" s="1643"/>
      <c r="U875" s="1643"/>
      <c r="V875" s="1644"/>
      <c r="W875" s="1475"/>
      <c r="X875" s="1338"/>
      <c r="Y875" s="1338"/>
      <c r="Z875" s="1338"/>
      <c r="AA875" s="1338"/>
      <c r="AB875" s="1338"/>
      <c r="AC875" s="1339"/>
      <c r="AD875" s="533"/>
      <c r="AV875" s="14"/>
      <c r="AW875" s="14"/>
      <c r="AX875" s="14"/>
      <c r="AY875" s="14"/>
      <c r="AZ875" s="34"/>
      <c r="BA875" s="34"/>
      <c r="BB875" s="34"/>
      <c r="BC875" s="34"/>
    </row>
    <row r="876" spans="3:55" ht="12.9" customHeight="1">
      <c r="J876" s="45" t="s">
        <v>170</v>
      </c>
      <c r="K876" s="5"/>
      <c r="L876" s="5"/>
      <c r="M876" s="1642" t="s">
        <v>334</v>
      </c>
      <c r="N876" s="1643"/>
      <c r="O876" s="1643"/>
      <c r="P876" s="1643"/>
      <c r="Q876" s="1643"/>
      <c r="R876" s="1643"/>
      <c r="S876" s="1643"/>
      <c r="T876" s="1643"/>
      <c r="U876" s="1643"/>
      <c r="V876" s="1644"/>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642" t="s">
        <v>334</v>
      </c>
      <c r="N877" s="1643"/>
      <c r="O877" s="1643"/>
      <c r="P877" s="1643"/>
      <c r="Q877" s="1643"/>
      <c r="R877" s="1643"/>
      <c r="S877" s="1643"/>
      <c r="T877" s="1643"/>
      <c r="U877" s="1643"/>
      <c r="V877" s="1644"/>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642" t="s">
        <v>334</v>
      </c>
      <c r="N878" s="1643"/>
      <c r="O878" s="1643"/>
      <c r="P878" s="1643"/>
      <c r="Q878" s="1643"/>
      <c r="R878" s="1643"/>
      <c r="S878" s="1643"/>
      <c r="T878" s="1643"/>
      <c r="U878" s="1643"/>
      <c r="V878" s="1644"/>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531899</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5">
        <f>O797+O777+G753</f>
        <v>50</v>
      </c>
      <c r="AD884" s="1645"/>
      <c r="AE884" s="1645"/>
      <c r="AF884" s="1645"/>
      <c r="AG884" s="1645"/>
      <c r="AH884" s="1646"/>
      <c r="AL884" s="4"/>
      <c r="AM884" s="4"/>
      <c r="AN884" s="4"/>
      <c r="AO884" s="4"/>
      <c r="AP884" s="4"/>
      <c r="AQ884" s="4"/>
      <c r="AR884" s="4"/>
      <c r="AS884" s="4"/>
      <c r="AT884" s="4"/>
      <c r="AZ884" s="34"/>
      <c r="BA884" s="34"/>
      <c r="BB884" s="34"/>
      <c r="BC884" s="34"/>
    </row>
    <row r="885" spans="3:55" ht="12.9"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1">
        <f>IF(ISERROR((ROUNDDOWN(AC883/AC884,0))),0,(ROUNDDOWN(AC883/AC884,0)))</f>
        <v>10637</v>
      </c>
      <c r="AD885" s="1601"/>
      <c r="AE885" s="1601"/>
      <c r="AF885" s="1601"/>
      <c r="AG885" s="1601"/>
      <c r="AH885" s="1601"/>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7">
        <v>326418</v>
      </c>
      <c r="AD886" s="1648"/>
      <c r="AE886" s="1648"/>
      <c r="AF886" s="1648"/>
      <c r="AG886" s="1648"/>
      <c r="AH886" s="1648"/>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8"/>
      <c r="AE887" s="1638"/>
      <c r="AF887" s="1638"/>
      <c r="AG887" s="1638"/>
      <c r="AH887" s="1638"/>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25000</v>
      </c>
      <c r="AD888" s="1338"/>
      <c r="AE888" s="1338"/>
      <c r="AF888" s="1338"/>
      <c r="AG888" s="1338"/>
      <c r="AH888" s="1339"/>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f>250*50</f>
        <v>12500</v>
      </c>
      <c r="AD889" s="1338"/>
      <c r="AE889" s="1338"/>
      <c r="AF889" s="1338"/>
      <c r="AG889" s="1338"/>
      <c r="AH889" s="1339"/>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c r="AD890" s="1491"/>
      <c r="AE890" s="1491"/>
      <c r="AF890" s="1491"/>
      <c r="AG890" s="1491"/>
      <c r="AH890" s="1492"/>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 customHeight="1">
      <c r="C894" s="1666" t="s">
        <v>957</v>
      </c>
      <c r="D894" s="1667"/>
      <c r="E894" s="1667"/>
      <c r="F894" s="1667"/>
      <c r="G894" s="1667"/>
      <c r="H894" s="1667"/>
      <c r="I894" s="1667"/>
      <c r="J894" s="1667"/>
      <c r="K894" s="1667"/>
      <c r="L894" s="1667"/>
      <c r="M894" s="1667"/>
      <c r="N894" s="1667"/>
      <c r="O894" s="1667"/>
      <c r="P894" s="1667"/>
      <c r="Q894" s="1667"/>
      <c r="R894" s="1667"/>
      <c r="S894" s="1667"/>
      <c r="T894" s="1667"/>
      <c r="U894" s="1667"/>
      <c r="V894" s="1667"/>
      <c r="W894" s="1667"/>
      <c r="X894" s="1667"/>
      <c r="Y894" s="1667"/>
      <c r="Z894" s="1667"/>
      <c r="AA894" s="1667"/>
      <c r="AB894" s="1668"/>
      <c r="AC894" s="1638"/>
      <c r="AD894" s="1638"/>
      <c r="AE894" s="1638"/>
      <c r="AF894" s="1638"/>
      <c r="AG894" s="1638"/>
      <c r="AH894" s="1638"/>
      <c r="AZ894" s="34"/>
      <c r="BA894" s="34"/>
      <c r="BB894" s="34"/>
      <c r="BC894" s="34"/>
    </row>
    <row r="895" spans="3:55" ht="12.9" customHeight="1">
      <c r="C895" s="1666" t="s">
        <v>957</v>
      </c>
      <c r="D895" s="1667"/>
      <c r="E895" s="1667"/>
      <c r="F895" s="1667"/>
      <c r="G895" s="1667"/>
      <c r="H895" s="1667"/>
      <c r="I895" s="1667"/>
      <c r="J895" s="1667"/>
      <c r="K895" s="1667"/>
      <c r="L895" s="1667"/>
      <c r="M895" s="1667"/>
      <c r="N895" s="1667"/>
      <c r="O895" s="1667"/>
      <c r="P895" s="1667"/>
      <c r="Q895" s="1667"/>
      <c r="R895" s="1667"/>
      <c r="S895" s="1667"/>
      <c r="T895" s="1667"/>
      <c r="U895" s="1667"/>
      <c r="V895" s="1667"/>
      <c r="W895" s="1667"/>
      <c r="X895" s="1667"/>
      <c r="Y895" s="1667"/>
      <c r="Z895" s="1667"/>
      <c r="AA895" s="1667"/>
      <c r="AB895" s="1668"/>
      <c r="AC895" s="1638"/>
      <c r="AD895" s="1638"/>
      <c r="AE895" s="1638"/>
      <c r="AF895" s="1638"/>
      <c r="AG895" s="1638"/>
      <c r="AH895" s="1638"/>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614</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5"/>
      <c r="BE899" s="1635"/>
      <c r="BF899" s="14"/>
    </row>
    <row r="900" spans="1:58" ht="12.9"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5"/>
      <c r="BE900" s="1635"/>
      <c r="BF900" s="14"/>
    </row>
    <row r="901" spans="1:58" ht="12.9"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4"/>
      <c r="BE901" s="1634"/>
      <c r="BF901" s="14"/>
    </row>
    <row r="902" spans="1:58" ht="12.9"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4"/>
      <c r="BE902" s="1634"/>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4"/>
      <c r="BE903" s="1634"/>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5"/>
      <c r="BE904" s="1634"/>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4"/>
      <c r="BE905" s="1664"/>
      <c r="BF905" s="1664"/>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3"/>
      <c r="BE906" s="1663"/>
      <c r="BF906" s="1663"/>
    </row>
    <row r="907" spans="1:58" ht="12.9"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4"/>
      <c r="BE907" s="1634"/>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5"/>
      <c r="BE908" s="1634"/>
      <c r="BF908" s="14"/>
    </row>
    <row r="909" spans="1:58" ht="12.9" customHeight="1">
      <c r="AZ909" s="34"/>
      <c r="BB909" s="30"/>
      <c r="BC909" s="816"/>
    </row>
    <row r="910" spans="1:58" ht="12.9"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5"/>
      <c r="BE910" s="1634"/>
      <c r="BF910" s="911"/>
    </row>
    <row r="911" spans="1:58" ht="12.9"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711" t="s">
        <v>793</v>
      </c>
      <c r="G915" s="1712"/>
      <c r="H915" s="1712"/>
      <c r="I915" s="1712"/>
      <c r="J915" s="1712"/>
      <c r="K915" s="1712"/>
      <c r="L915" s="1712"/>
      <c r="M915" s="1712"/>
      <c r="N915" s="1712"/>
      <c r="O915" s="1712"/>
      <c r="P915" s="1712"/>
      <c r="Q915" s="1712"/>
      <c r="R915" s="1712"/>
      <c r="S915" s="1712"/>
      <c r="T915" s="1713"/>
      <c r="U915" s="1754" t="s">
        <v>31</v>
      </c>
      <c r="V915" s="1686"/>
      <c r="W915" s="1686"/>
      <c r="X915" s="1686"/>
      <c r="Y915" s="1686"/>
      <c r="Z915" s="1686"/>
      <c r="AA915" s="43"/>
      <c r="AB915" s="105"/>
      <c r="AC915" s="105"/>
      <c r="AD915" s="105"/>
      <c r="AE915" s="105"/>
      <c r="AF915" s="106"/>
      <c r="AZ915" s="34"/>
      <c r="BA915" s="34"/>
      <c r="BB915" s="34"/>
      <c r="BC915" s="34"/>
    </row>
    <row r="916" spans="1:58" ht="12.9" customHeight="1">
      <c r="B916" s="2"/>
      <c r="F916" s="1755" t="s">
        <v>819</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2.9" customHeight="1">
      <c r="B917" s="2"/>
      <c r="F917" s="1757"/>
      <c r="G917" s="1688"/>
      <c r="H917" s="1688"/>
      <c r="I917" s="1688"/>
      <c r="J917" s="1688"/>
      <c r="K917" s="1688"/>
      <c r="L917" s="1688"/>
      <c r="M917" s="1688"/>
      <c r="N917" s="1688"/>
      <c r="O917" s="1688"/>
      <c r="P917" s="1688"/>
      <c r="Q917" s="1688"/>
      <c r="R917" s="1688"/>
      <c r="S917" s="1688"/>
      <c r="T917" s="1689"/>
      <c r="U917" s="1757"/>
      <c r="V917" s="1688"/>
      <c r="W917" s="1688"/>
      <c r="X917" s="1688"/>
      <c r="Y917" s="1688"/>
      <c r="Z917" s="1688"/>
      <c r="AA917" s="108"/>
      <c r="AB917" s="1431" t="s">
        <v>391</v>
      </c>
      <c r="AC917" s="1431"/>
      <c r="AD917" s="1431"/>
      <c r="AE917" s="1431"/>
      <c r="AF917" s="109"/>
      <c r="AZ917" s="34"/>
      <c r="BA917" s="34"/>
      <c r="BB917" s="34"/>
      <c r="BC917" s="34"/>
    </row>
    <row r="918" spans="1:58" ht="12.9" customHeight="1">
      <c r="B918" s="2"/>
      <c r="F918" s="45" t="s">
        <v>759</v>
      </c>
      <c r="G918" s="48"/>
      <c r="H918" s="48"/>
      <c r="I918" s="48"/>
      <c r="J918" s="48"/>
      <c r="K918" s="48"/>
      <c r="L918" s="48"/>
      <c r="M918" s="48"/>
      <c r="N918" s="48"/>
      <c r="O918" s="48"/>
      <c r="P918" s="48"/>
      <c r="Q918" s="48"/>
      <c r="R918" s="48"/>
      <c r="S918" s="48"/>
      <c r="T918" s="49"/>
      <c r="U918" s="1628" t="s">
        <v>546</v>
      </c>
      <c r="V918" s="1427"/>
      <c r="W918" s="1427"/>
      <c r="X918" s="1427"/>
      <c r="Y918" s="1427"/>
      <c r="Z918" s="1428"/>
      <c r="AA918" s="1632">
        <v>22655819</v>
      </c>
      <c r="AB918" s="1524"/>
      <c r="AC918" s="1524"/>
      <c r="AD918" s="1524"/>
      <c r="AE918" s="1524"/>
      <c r="AF918" s="1633"/>
      <c r="AZ918" s="34"/>
      <c r="BA918" s="34"/>
      <c r="BB918" s="34"/>
      <c r="BC918" s="34"/>
    </row>
    <row r="919" spans="1:58" ht="12.9" customHeight="1">
      <c r="B919" s="2"/>
      <c r="F919" s="66" t="s">
        <v>676</v>
      </c>
      <c r="G919" s="48"/>
      <c r="H919" s="48"/>
      <c r="I919" s="48"/>
      <c r="J919" s="48"/>
      <c r="K919" s="48"/>
      <c r="L919" s="48"/>
      <c r="M919" s="48"/>
      <c r="N919" s="48"/>
      <c r="O919" s="48"/>
      <c r="P919" s="48"/>
      <c r="Q919" s="48"/>
      <c r="R919" s="48"/>
      <c r="S919" s="48"/>
      <c r="T919" s="49"/>
      <c r="U919" s="1628" t="s">
        <v>592</v>
      </c>
      <c r="V919" s="1427"/>
      <c r="W919" s="1427"/>
      <c r="X919" s="1427"/>
      <c r="Y919" s="1427"/>
      <c r="Z919" s="1428"/>
      <c r="AA919" s="1632"/>
      <c r="AB919" s="1524"/>
      <c r="AC919" s="1524"/>
      <c r="AD919" s="1524"/>
      <c r="AE919" s="1524"/>
      <c r="AF919" s="1633"/>
      <c r="AZ919" s="34"/>
      <c r="BA919" s="34"/>
      <c r="BB919" s="34"/>
      <c r="BC919" s="34"/>
    </row>
    <row r="920" spans="1:58" ht="12.9" customHeight="1">
      <c r="F920" s="45" t="s">
        <v>802</v>
      </c>
      <c r="G920" s="5"/>
      <c r="H920" s="5"/>
      <c r="I920" s="5"/>
      <c r="J920" s="5"/>
      <c r="K920" s="5"/>
      <c r="L920" s="5"/>
      <c r="M920" s="5"/>
      <c r="N920" s="5"/>
      <c r="O920" s="5"/>
      <c r="P920" s="5"/>
      <c r="Q920" s="5"/>
      <c r="R920" s="5"/>
      <c r="S920" s="5"/>
      <c r="T920" s="46"/>
      <c r="U920" s="1628" t="s">
        <v>592</v>
      </c>
      <c r="V920" s="1427"/>
      <c r="W920" s="1427"/>
      <c r="X920" s="1427"/>
      <c r="Y920" s="1427"/>
      <c r="Z920" s="1428"/>
      <c r="AA920" s="1632"/>
      <c r="AB920" s="1524"/>
      <c r="AC920" s="1524"/>
      <c r="AD920" s="1524"/>
      <c r="AE920" s="1524"/>
      <c r="AF920" s="1633"/>
      <c r="AZ920" s="34"/>
      <c r="BA920" s="34"/>
      <c r="BB920" s="34"/>
      <c r="BC920" s="34"/>
    </row>
    <row r="921" spans="1:58" ht="12.9" customHeight="1">
      <c r="F921" s="45" t="s">
        <v>679</v>
      </c>
      <c r="G921" s="5"/>
      <c r="H921" s="5"/>
      <c r="I921" s="5"/>
      <c r="J921" s="5"/>
      <c r="K921" s="5"/>
      <c r="L921" s="5"/>
      <c r="M921" s="5"/>
      <c r="N921" s="5"/>
      <c r="O921" s="5"/>
      <c r="P921" s="5"/>
      <c r="Q921" s="5"/>
      <c r="R921" s="5"/>
      <c r="S921" s="5"/>
      <c r="T921" s="46"/>
      <c r="U921" s="1628" t="s">
        <v>592</v>
      </c>
      <c r="V921" s="1427"/>
      <c r="W921" s="1427"/>
      <c r="X921" s="1427"/>
      <c r="Y921" s="1427"/>
      <c r="Z921" s="1428"/>
      <c r="AA921" s="1632"/>
      <c r="AB921" s="1524"/>
      <c r="AC921" s="1524"/>
      <c r="AD921" s="1524"/>
      <c r="AE921" s="1524"/>
      <c r="AF921" s="1633"/>
      <c r="AZ921" s="34"/>
      <c r="BA921" s="34"/>
      <c r="BB921" s="34"/>
      <c r="BC921" s="34"/>
    </row>
    <row r="922" spans="1:58" ht="12.9" customHeight="1">
      <c r="F922" s="66" t="s">
        <v>787</v>
      </c>
      <c r="G922" s="5"/>
      <c r="H922" s="5"/>
      <c r="I922" s="5"/>
      <c r="J922" s="5"/>
      <c r="K922" s="5"/>
      <c r="L922" s="5"/>
      <c r="M922" s="5"/>
      <c r="N922" s="5"/>
      <c r="O922" s="5"/>
      <c r="P922" s="5"/>
      <c r="Q922" s="5"/>
      <c r="R922" s="5"/>
      <c r="S922" s="5"/>
      <c r="T922" s="46"/>
      <c r="U922" s="1628" t="s">
        <v>592</v>
      </c>
      <c r="V922" s="1427"/>
      <c r="W922" s="1427"/>
      <c r="X922" s="1427"/>
      <c r="Y922" s="1427"/>
      <c r="Z922" s="1428"/>
      <c r="AA922" s="1632"/>
      <c r="AB922" s="1524"/>
      <c r="AC922" s="1524"/>
      <c r="AD922" s="1524"/>
      <c r="AE922" s="1524"/>
      <c r="AF922" s="1633"/>
      <c r="AZ922" s="34"/>
      <c r="BA922" s="34"/>
      <c r="BB922" s="34"/>
      <c r="BC922" s="34"/>
    </row>
    <row r="923" spans="1:58" ht="12.9" customHeight="1">
      <c r="F923" s="66" t="s">
        <v>788</v>
      </c>
      <c r="G923" s="5"/>
      <c r="H923" s="5"/>
      <c r="I923" s="5"/>
      <c r="J923" s="5"/>
      <c r="K923" s="5"/>
      <c r="L923" s="5"/>
      <c r="M923" s="5"/>
      <c r="N923" s="5"/>
      <c r="O923" s="5"/>
      <c r="P923" s="5"/>
      <c r="Q923" s="5"/>
      <c r="R923" s="5"/>
      <c r="S923" s="5"/>
      <c r="T923" s="46"/>
      <c r="U923" s="1628" t="s">
        <v>592</v>
      </c>
      <c r="V923" s="1427"/>
      <c r="W923" s="1427"/>
      <c r="X923" s="1427"/>
      <c r="Y923" s="1427"/>
      <c r="Z923" s="1428"/>
      <c r="AA923" s="1632"/>
      <c r="AB923" s="1524"/>
      <c r="AC923" s="1524"/>
      <c r="AD923" s="1524"/>
      <c r="AE923" s="1524"/>
      <c r="AF923" s="1633"/>
      <c r="AZ923" s="34"/>
      <c r="BA923" s="34"/>
      <c r="BB923" s="34"/>
      <c r="BC923" s="34"/>
    </row>
    <row r="924" spans="1:58" ht="12.9" customHeight="1">
      <c r="F924" s="66" t="s">
        <v>789</v>
      </c>
      <c r="G924" s="5"/>
      <c r="H924" s="5"/>
      <c r="I924" s="5"/>
      <c r="J924" s="5"/>
      <c r="K924" s="5"/>
      <c r="L924" s="5"/>
      <c r="M924" s="5"/>
      <c r="N924" s="5"/>
      <c r="O924" s="5"/>
      <c r="P924" s="5"/>
      <c r="Q924" s="5"/>
      <c r="R924" s="5"/>
      <c r="S924" s="5"/>
      <c r="T924" s="46"/>
      <c r="U924" s="1628" t="s">
        <v>592</v>
      </c>
      <c r="V924" s="1427"/>
      <c r="W924" s="1427"/>
      <c r="X924" s="1427"/>
      <c r="Y924" s="1427"/>
      <c r="Z924" s="1428"/>
      <c r="AA924" s="1632"/>
      <c r="AB924" s="1524"/>
      <c r="AC924" s="1524"/>
      <c r="AD924" s="1524"/>
      <c r="AE924" s="1524"/>
      <c r="AF924" s="1633"/>
      <c r="AZ924" s="34"/>
      <c r="BA924" s="34"/>
      <c r="BB924" s="34"/>
      <c r="BC924" s="34"/>
    </row>
    <row r="925" spans="1:58" ht="12.9" customHeight="1">
      <c r="F925" s="45" t="s">
        <v>678</v>
      </c>
      <c r="G925" s="5"/>
      <c r="H925" s="5"/>
      <c r="I925" s="5"/>
      <c r="J925" s="5"/>
      <c r="K925" s="5"/>
      <c r="L925" s="5"/>
      <c r="M925" s="5"/>
      <c r="N925" s="5"/>
      <c r="O925" s="5"/>
      <c r="P925" s="5"/>
      <c r="Q925" s="5"/>
      <c r="R925" s="5"/>
      <c r="S925" s="5"/>
      <c r="T925" s="46"/>
      <c r="U925" s="1628" t="s">
        <v>592</v>
      </c>
      <c r="V925" s="1427"/>
      <c r="W925" s="1427"/>
      <c r="X925" s="1427"/>
      <c r="Y925" s="1427"/>
      <c r="Z925" s="1428"/>
      <c r="AA925" s="1632"/>
      <c r="AB925" s="1524"/>
      <c r="AC925" s="1524"/>
      <c r="AD925" s="1524"/>
      <c r="AE925" s="1524"/>
      <c r="AF925" s="1633"/>
      <c r="AZ925" s="34"/>
      <c r="BA925" s="34"/>
      <c r="BB925" s="34"/>
      <c r="BC925" s="34"/>
    </row>
    <row r="926" spans="1:58" ht="12.9" customHeight="1">
      <c r="F926" s="1625" t="s">
        <v>2194</v>
      </c>
      <c r="G926" s="1626"/>
      <c r="H926" s="1626"/>
      <c r="I926" s="1626"/>
      <c r="J926" s="1626"/>
      <c r="K926" s="1626"/>
      <c r="L926" s="1626"/>
      <c r="M926" s="1626"/>
      <c r="N926" s="1626"/>
      <c r="O926" s="1626"/>
      <c r="P926" s="1626"/>
      <c r="Q926" s="1626"/>
      <c r="R926" s="1626"/>
      <c r="S926" s="1626"/>
      <c r="T926" s="1627"/>
      <c r="U926" s="1628" t="s">
        <v>592</v>
      </c>
      <c r="V926" s="1427"/>
      <c r="W926" s="1427"/>
      <c r="X926" s="1427"/>
      <c r="Y926" s="1427"/>
      <c r="Z926" s="1428"/>
      <c r="AA926" s="1632"/>
      <c r="AB926" s="1524"/>
      <c r="AC926" s="1524"/>
      <c r="AD926" s="1524"/>
      <c r="AE926" s="1524"/>
      <c r="AF926" s="1633"/>
      <c r="AZ926" s="34"/>
      <c r="BA926" s="34"/>
      <c r="BB926" s="34"/>
      <c r="BC926" s="34"/>
    </row>
    <row r="927" spans="1:58" ht="12.9" customHeight="1">
      <c r="F927" s="1625" t="s">
        <v>680</v>
      </c>
      <c r="G927" s="1626"/>
      <c r="H927" s="1626"/>
      <c r="I927" s="1626"/>
      <c r="J927" s="1626"/>
      <c r="K927" s="1626"/>
      <c r="L927" s="1626"/>
      <c r="M927" s="1626"/>
      <c r="N927" s="1626"/>
      <c r="O927" s="1626"/>
      <c r="P927" s="1626"/>
      <c r="Q927" s="1626"/>
      <c r="R927" s="1626"/>
      <c r="S927" s="1626"/>
      <c r="T927" s="1627"/>
      <c r="U927" s="1628" t="s">
        <v>592</v>
      </c>
      <c r="V927" s="1427"/>
      <c r="W927" s="1427"/>
      <c r="X927" s="1427"/>
      <c r="Y927" s="1427"/>
      <c r="Z927" s="1428"/>
      <c r="AA927" s="1632"/>
      <c r="AB927" s="1524"/>
      <c r="AC927" s="1524"/>
      <c r="AD927" s="1524"/>
      <c r="AE927" s="1524"/>
      <c r="AF927" s="1633"/>
      <c r="AU927" s="2"/>
      <c r="AZ927" s="34"/>
      <c r="BA927" s="34"/>
      <c r="BB927" s="34"/>
      <c r="BC927" s="34"/>
    </row>
    <row r="928" spans="1:58" ht="12.9" customHeight="1">
      <c r="F928" s="1625" t="s">
        <v>2195</v>
      </c>
      <c r="G928" s="1626"/>
      <c r="H928" s="1626"/>
      <c r="I928" s="1626"/>
      <c r="J928" s="1626"/>
      <c r="K928" s="1626"/>
      <c r="L928" s="1626"/>
      <c r="M928" s="1626"/>
      <c r="N928" s="1626"/>
      <c r="O928" s="1626"/>
      <c r="P928" s="1626"/>
      <c r="Q928" s="1626"/>
      <c r="R928" s="1626"/>
      <c r="S928" s="1626"/>
      <c r="T928" s="1627"/>
      <c r="U928" s="1628" t="s">
        <v>592</v>
      </c>
      <c r="V928" s="1427"/>
      <c r="W928" s="1427"/>
      <c r="X928" s="1427"/>
      <c r="Y928" s="1427"/>
      <c r="Z928" s="1428"/>
      <c r="AA928" s="1632"/>
      <c r="AB928" s="1524"/>
      <c r="AC928" s="1524"/>
      <c r="AD928" s="1524"/>
      <c r="AE928" s="1524"/>
      <c r="AF928" s="1633"/>
      <c r="AU928" s="2"/>
      <c r="AZ928" s="34"/>
      <c r="BA928" s="34"/>
      <c r="BB928" s="34"/>
      <c r="BC928" s="34"/>
    </row>
    <row r="929" spans="6:55" ht="12.9" customHeight="1">
      <c r="F929" s="1625" t="s">
        <v>2196</v>
      </c>
      <c r="G929" s="1626"/>
      <c r="H929" s="1626"/>
      <c r="I929" s="1626"/>
      <c r="J929" s="1626"/>
      <c r="K929" s="1626"/>
      <c r="L929" s="1626"/>
      <c r="M929" s="1626"/>
      <c r="N929" s="1626"/>
      <c r="O929" s="1626"/>
      <c r="P929" s="1626"/>
      <c r="Q929" s="1626"/>
      <c r="R929" s="1626"/>
      <c r="S929" s="1626"/>
      <c r="T929" s="1627"/>
      <c r="U929" s="1628" t="s">
        <v>592</v>
      </c>
      <c r="V929" s="1427"/>
      <c r="W929" s="1427"/>
      <c r="X929" s="1427"/>
      <c r="Y929" s="1427"/>
      <c r="Z929" s="1428"/>
      <c r="AA929" s="1632"/>
      <c r="AB929" s="1524"/>
      <c r="AC929" s="1524"/>
      <c r="AD929" s="1524"/>
      <c r="AE929" s="1524"/>
      <c r="AF929" s="1633"/>
      <c r="AU929" s="2"/>
      <c r="AZ929" s="34"/>
      <c r="BA929" s="34"/>
      <c r="BB929" s="34"/>
      <c r="BC929" s="34"/>
    </row>
    <row r="930" spans="6:55" ht="12.9" customHeight="1">
      <c r="F930" s="1625" t="s">
        <v>2197</v>
      </c>
      <c r="G930" s="1626"/>
      <c r="H930" s="1626"/>
      <c r="I930" s="1626"/>
      <c r="J930" s="1626"/>
      <c r="K930" s="1626"/>
      <c r="L930" s="1626"/>
      <c r="M930" s="1626"/>
      <c r="N930" s="1626"/>
      <c r="O930" s="1626"/>
      <c r="P930" s="1626"/>
      <c r="Q930" s="1626"/>
      <c r="R930" s="1626"/>
      <c r="S930" s="1626"/>
      <c r="T930" s="1627"/>
      <c r="U930" s="1628" t="s">
        <v>592</v>
      </c>
      <c r="V930" s="1427"/>
      <c r="W930" s="1427"/>
      <c r="X930" s="1427"/>
      <c r="Y930" s="1427"/>
      <c r="Z930" s="1428"/>
      <c r="AA930" s="1632"/>
      <c r="AB930" s="1524"/>
      <c r="AC930" s="1524"/>
      <c r="AD930" s="1524"/>
      <c r="AE930" s="1524"/>
      <c r="AF930" s="1633"/>
      <c r="AU930" s="2"/>
      <c r="AZ930" s="34"/>
      <c r="BA930" s="34"/>
      <c r="BB930" s="34"/>
      <c r="BC930" s="34"/>
    </row>
    <row r="931" spans="6:55" ht="12.9" customHeight="1">
      <c r="F931" s="1625" t="s">
        <v>2198</v>
      </c>
      <c r="G931" s="1626"/>
      <c r="H931" s="1626"/>
      <c r="I931" s="1626"/>
      <c r="J931" s="1626"/>
      <c r="K931" s="1626"/>
      <c r="L931" s="1626"/>
      <c r="M931" s="1626"/>
      <c r="N931" s="1626"/>
      <c r="O931" s="1626"/>
      <c r="P931" s="1626"/>
      <c r="Q931" s="1626"/>
      <c r="R931" s="1626"/>
      <c r="S931" s="1626"/>
      <c r="T931" s="1627"/>
      <c r="U931" s="1628" t="s">
        <v>592</v>
      </c>
      <c r="V931" s="1427"/>
      <c r="W931" s="1427"/>
      <c r="X931" s="1427"/>
      <c r="Y931" s="1427"/>
      <c r="Z931" s="1428"/>
      <c r="AA931" s="1632"/>
      <c r="AB931" s="1524"/>
      <c r="AC931" s="1524"/>
      <c r="AD931" s="1524"/>
      <c r="AE931" s="1524"/>
      <c r="AF931" s="1633"/>
      <c r="AU931" s="2"/>
      <c r="AZ931" s="34"/>
      <c r="BA931" s="34"/>
      <c r="BB931" s="34"/>
      <c r="BC931" s="34"/>
    </row>
    <row r="932" spans="6:55" ht="12.9" customHeight="1">
      <c r="F932" s="1625" t="s">
        <v>2199</v>
      </c>
      <c r="G932" s="1626"/>
      <c r="H932" s="1626"/>
      <c r="I932" s="1626"/>
      <c r="J932" s="1626"/>
      <c r="K932" s="1626"/>
      <c r="L932" s="1626"/>
      <c r="M932" s="1626"/>
      <c r="N932" s="1626"/>
      <c r="O932" s="1626"/>
      <c r="P932" s="1626"/>
      <c r="Q932" s="1626"/>
      <c r="R932" s="1626"/>
      <c r="S932" s="1626"/>
      <c r="T932" s="1627"/>
      <c r="U932" s="1628" t="s">
        <v>592</v>
      </c>
      <c r="V932" s="1427"/>
      <c r="W932" s="1427"/>
      <c r="X932" s="1427"/>
      <c r="Y932" s="1427"/>
      <c r="Z932" s="1428"/>
      <c r="AA932" s="1632"/>
      <c r="AB932" s="1524"/>
      <c r="AC932" s="1524"/>
      <c r="AD932" s="1524"/>
      <c r="AE932" s="1524"/>
      <c r="AF932" s="1633"/>
      <c r="AZ932" s="30"/>
      <c r="BA932" s="30"/>
    </row>
    <row r="933" spans="6:55" ht="12.9" customHeight="1">
      <c r="F933" s="178" t="s">
        <v>677</v>
      </c>
      <c r="G933" s="5"/>
      <c r="H933" s="5"/>
      <c r="I933" s="5"/>
      <c r="J933" s="5"/>
      <c r="K933" s="5"/>
      <c r="L933" s="5"/>
      <c r="M933" s="5"/>
      <c r="N933" s="5"/>
      <c r="O933" s="5"/>
      <c r="P933" s="5"/>
      <c r="Q933" s="5"/>
      <c r="R933" s="5"/>
      <c r="S933" s="5"/>
      <c r="T933" s="46"/>
      <c r="U933" s="1628" t="s">
        <v>592</v>
      </c>
      <c r="V933" s="1427"/>
      <c r="W933" s="1427"/>
      <c r="X933" s="1427"/>
      <c r="Y933" s="1427"/>
      <c r="Z933" s="1428"/>
      <c r="AA933" s="1632"/>
      <c r="AB933" s="1524"/>
      <c r="AC933" s="1524"/>
      <c r="AD933" s="1524"/>
      <c r="AE933" s="1524"/>
      <c r="AF933" s="1633"/>
    </row>
    <row r="934" spans="6:55" ht="12.9" customHeight="1">
      <c r="F934" s="121" t="s">
        <v>1278</v>
      </c>
      <c r="G934" s="5"/>
      <c r="H934" s="5"/>
      <c r="I934" s="5"/>
      <c r="J934" s="5"/>
      <c r="K934" s="5"/>
      <c r="L934" s="5"/>
      <c r="M934" s="5"/>
      <c r="N934" s="5"/>
      <c r="O934" s="5"/>
      <c r="P934" s="5"/>
      <c r="Q934" s="5"/>
      <c r="R934" s="5"/>
      <c r="S934" s="5"/>
      <c r="T934" s="46"/>
      <c r="U934" s="1628" t="s">
        <v>592</v>
      </c>
      <c r="V934" s="1427"/>
      <c r="W934" s="1427"/>
      <c r="X934" s="1427"/>
      <c r="Y934" s="1427"/>
      <c r="Z934" s="1428"/>
      <c r="AA934" s="1632"/>
      <c r="AB934" s="1524"/>
      <c r="AC934" s="1524"/>
      <c r="AD934" s="1524"/>
      <c r="AE934" s="1524"/>
      <c r="AF934" s="1633"/>
      <c r="AZ934" s="30"/>
      <c r="BA934" s="14"/>
    </row>
    <row r="935" spans="6:55" ht="12.9" customHeight="1">
      <c r="F935" s="66" t="s">
        <v>803</v>
      </c>
      <c r="G935" s="5"/>
      <c r="H935" s="5"/>
      <c r="I935" s="5"/>
      <c r="J935" s="5"/>
      <c r="K935" s="5"/>
      <c r="L935" s="5"/>
      <c r="M935" s="5"/>
      <c r="N935" s="5"/>
      <c r="O935" s="5"/>
      <c r="P935" s="5"/>
      <c r="Q935" s="5"/>
      <c r="R935" s="5"/>
      <c r="S935" s="5"/>
      <c r="T935" s="46"/>
      <c r="U935" s="1628" t="s">
        <v>592</v>
      </c>
      <c r="V935" s="1427"/>
      <c r="W935" s="1427"/>
      <c r="X935" s="1427"/>
      <c r="Y935" s="1427"/>
      <c r="Z935" s="1428"/>
      <c r="AA935" s="1632"/>
      <c r="AB935" s="1524"/>
      <c r="AC935" s="1524"/>
      <c r="AD935" s="1524"/>
      <c r="AE935" s="1524"/>
      <c r="AF935" s="1633"/>
      <c r="AZ935" s="30"/>
      <c r="BA935" s="14"/>
    </row>
    <row r="936" spans="6:55" ht="12.9" customHeight="1">
      <c r="F936" s="1629" t="s">
        <v>2203</v>
      </c>
      <c r="G936" s="1630"/>
      <c r="H936" s="1630"/>
      <c r="I936" s="1630"/>
      <c r="J936" s="1630"/>
      <c r="K936" s="1630"/>
      <c r="L936" s="1630"/>
      <c r="M936" s="1630"/>
      <c r="N936" s="1630"/>
      <c r="O936" s="1630"/>
      <c r="P936" s="1630"/>
      <c r="Q936" s="1630"/>
      <c r="R936" s="1630"/>
      <c r="S936" s="1630"/>
      <c r="T936" s="1631"/>
      <c r="U936" s="1628" t="s">
        <v>592</v>
      </c>
      <c r="V936" s="1427"/>
      <c r="W936" s="1427"/>
      <c r="X936" s="1427"/>
      <c r="Y936" s="1427"/>
      <c r="Z936" s="1428"/>
      <c r="AA936" s="1632"/>
      <c r="AB936" s="1524"/>
      <c r="AC936" s="1524"/>
      <c r="AD936" s="1524"/>
      <c r="AE936" s="1524"/>
      <c r="AF936" s="1633"/>
      <c r="AZ936" s="30"/>
      <c r="BA936" s="14"/>
    </row>
    <row r="937" spans="6:55" ht="12.9" customHeight="1">
      <c r="F937" s="1629" t="s">
        <v>2204</v>
      </c>
      <c r="G937" s="1630"/>
      <c r="H937" s="1630"/>
      <c r="I937" s="1630"/>
      <c r="J937" s="1630"/>
      <c r="K937" s="1630"/>
      <c r="L937" s="1630"/>
      <c r="M937" s="1630"/>
      <c r="N937" s="1630"/>
      <c r="O937" s="1630"/>
      <c r="P937" s="1630"/>
      <c r="Q937" s="1630"/>
      <c r="R937" s="1630"/>
      <c r="S937" s="1630"/>
      <c r="T937" s="1631"/>
      <c r="U937" s="1628" t="s">
        <v>592</v>
      </c>
      <c r="V937" s="1427"/>
      <c r="W937" s="1427"/>
      <c r="X937" s="1427"/>
      <c r="Y937" s="1427"/>
      <c r="Z937" s="1428"/>
      <c r="AA937" s="1632"/>
      <c r="AB937" s="1524"/>
      <c r="AC937" s="1524"/>
      <c r="AD937" s="1524"/>
      <c r="AE937" s="1524"/>
      <c r="AF937" s="1633"/>
      <c r="AZ937" s="30"/>
      <c r="BA937" s="30"/>
    </row>
    <row r="938" spans="6:55" ht="12.9" customHeight="1">
      <c r="F938" s="1625" t="s">
        <v>2200</v>
      </c>
      <c r="G938" s="1626"/>
      <c r="H938" s="1626"/>
      <c r="I938" s="1626"/>
      <c r="J938" s="1626"/>
      <c r="K938" s="1626"/>
      <c r="L938" s="1626"/>
      <c r="M938" s="1626"/>
      <c r="N938" s="1626"/>
      <c r="O938" s="1626"/>
      <c r="P938" s="1626"/>
      <c r="Q938" s="1626"/>
      <c r="R938" s="1626"/>
      <c r="S938" s="1626"/>
      <c r="T938" s="1627"/>
      <c r="U938" s="1628" t="s">
        <v>592</v>
      </c>
      <c r="V938" s="1427"/>
      <c r="W938" s="1427"/>
      <c r="X938" s="1427"/>
      <c r="Y938" s="1427"/>
      <c r="Z938" s="1428"/>
      <c r="AA938" s="1632"/>
      <c r="AB938" s="1524"/>
      <c r="AC938" s="1524"/>
      <c r="AD938" s="1524"/>
      <c r="AE938" s="1524"/>
      <c r="AF938" s="1633"/>
      <c r="AZ938" s="30"/>
      <c r="BA938" s="30"/>
    </row>
    <row r="939" spans="6:55" ht="12.9" customHeight="1">
      <c r="F939" s="1625" t="s">
        <v>2201</v>
      </c>
      <c r="G939" s="1626"/>
      <c r="H939" s="1626"/>
      <c r="I939" s="1626"/>
      <c r="J939" s="1626"/>
      <c r="K939" s="1626"/>
      <c r="L939" s="1626"/>
      <c r="M939" s="1626"/>
      <c r="N939" s="1626"/>
      <c r="O939" s="1626"/>
      <c r="P939" s="1626"/>
      <c r="Q939" s="1626"/>
      <c r="R939" s="1626"/>
      <c r="S939" s="1626"/>
      <c r="T939" s="1627"/>
      <c r="U939" s="1628" t="s">
        <v>592</v>
      </c>
      <c r="V939" s="1427"/>
      <c r="W939" s="1427"/>
      <c r="X939" s="1427"/>
      <c r="Y939" s="1427"/>
      <c r="Z939" s="1428"/>
      <c r="AA939" s="1632"/>
      <c r="AB939" s="1524"/>
      <c r="AC939" s="1524"/>
      <c r="AD939" s="1524"/>
      <c r="AE939" s="1524"/>
      <c r="AF939" s="1633"/>
      <c r="AZ939" s="30"/>
      <c r="BA939" s="30"/>
    </row>
    <row r="940" spans="6:55" ht="12.9" customHeight="1">
      <c r="F940" s="1625" t="s">
        <v>2202</v>
      </c>
      <c r="G940" s="1626"/>
      <c r="H940" s="1626"/>
      <c r="I940" s="1626"/>
      <c r="J940" s="1626"/>
      <c r="K940" s="1626"/>
      <c r="L940" s="1626"/>
      <c r="M940" s="1626"/>
      <c r="N940" s="1626"/>
      <c r="O940" s="1626"/>
      <c r="P940" s="1626"/>
      <c r="Q940" s="1626"/>
      <c r="R940" s="1626"/>
      <c r="S940" s="1626"/>
      <c r="T940" s="1627"/>
      <c r="U940" s="1628" t="s">
        <v>592</v>
      </c>
      <c r="V940" s="1427"/>
      <c r="W940" s="1427"/>
      <c r="X940" s="1427"/>
      <c r="Y940" s="1427"/>
      <c r="Z940" s="1428"/>
      <c r="AA940" s="1632"/>
      <c r="AB940" s="1524"/>
      <c r="AC940" s="1524"/>
      <c r="AD940" s="1524"/>
      <c r="AE940" s="1524"/>
      <c r="AF940" s="1633"/>
      <c r="AZ940" s="34"/>
      <c r="BA940" s="34"/>
      <c r="BB940" s="14"/>
      <c r="BC940" s="14"/>
    </row>
    <row r="941" spans="6:55" ht="12.9" customHeight="1">
      <c r="F941" s="121" t="s">
        <v>1262</v>
      </c>
      <c r="G941" s="5"/>
      <c r="H941" s="5"/>
      <c r="I941" s="5"/>
      <c r="J941" s="5"/>
      <c r="K941" s="5"/>
      <c r="L941" s="5"/>
      <c r="M941" s="5"/>
      <c r="N941" s="5"/>
      <c r="O941" s="5"/>
      <c r="P941" s="5"/>
      <c r="Q941" s="5"/>
      <c r="R941" s="5"/>
      <c r="S941" s="5"/>
      <c r="T941" s="46"/>
      <c r="U941" s="1628" t="s">
        <v>592</v>
      </c>
      <c r="V941" s="1427"/>
      <c r="W941" s="1427"/>
      <c r="X941" s="1427"/>
      <c r="Y941" s="1427"/>
      <c r="Z941" s="1428"/>
      <c r="AA941" s="1632"/>
      <c r="AB941" s="1524"/>
      <c r="AC941" s="1524"/>
      <c r="AD941" s="1524"/>
      <c r="AE941" s="1524"/>
      <c r="AF941" s="1633"/>
      <c r="AZ941" s="34"/>
      <c r="BA941" s="34"/>
      <c r="BB941" s="14"/>
      <c r="BC941" s="14"/>
    </row>
    <row r="942" spans="6:55" ht="12.9" customHeight="1">
      <c r="F942" s="1629" t="s">
        <v>2205</v>
      </c>
      <c r="G942" s="1630"/>
      <c r="H942" s="1630"/>
      <c r="I942" s="1630"/>
      <c r="J942" s="1630"/>
      <c r="K942" s="1630"/>
      <c r="L942" s="1630"/>
      <c r="M942" s="1630"/>
      <c r="N942" s="1630"/>
      <c r="O942" s="1630"/>
      <c r="P942" s="1630"/>
      <c r="Q942" s="1630"/>
      <c r="R942" s="1630"/>
      <c r="S942" s="1630"/>
      <c r="T942" s="1631"/>
      <c r="U942" s="1628" t="s">
        <v>592</v>
      </c>
      <c r="V942" s="1427"/>
      <c r="W942" s="1427"/>
      <c r="X942" s="1427"/>
      <c r="Y942" s="1427"/>
      <c r="Z942" s="1428"/>
      <c r="AA942" s="1632"/>
      <c r="AB942" s="1524"/>
      <c r="AC942" s="1524"/>
      <c r="AD942" s="1524"/>
      <c r="AE942" s="1524"/>
      <c r="AF942" s="1633"/>
      <c r="AZ942" s="34"/>
      <c r="BA942" s="34"/>
      <c r="BB942" s="34"/>
      <c r="BC942" s="34"/>
    </row>
    <row r="943" spans="6:55" ht="12.9" customHeight="1">
      <c r="F943" s="121" t="s">
        <v>1263</v>
      </c>
      <c r="G943" s="5"/>
      <c r="H943" s="5"/>
      <c r="I943" s="5"/>
      <c r="J943" s="5"/>
      <c r="K943" s="5"/>
      <c r="L943" s="5"/>
      <c r="M943" s="5"/>
      <c r="N943" s="5"/>
      <c r="O943" s="5"/>
      <c r="P943" s="5"/>
      <c r="Q943" s="5"/>
      <c r="R943" s="5"/>
      <c r="S943" s="5"/>
      <c r="T943" s="46"/>
      <c r="U943" s="1628" t="s">
        <v>592</v>
      </c>
      <c r="V943" s="1427"/>
      <c r="W943" s="1427"/>
      <c r="X943" s="1427"/>
      <c r="Y943" s="1427"/>
      <c r="Z943" s="1428"/>
      <c r="AA943" s="1632"/>
      <c r="AB943" s="1524"/>
      <c r="AC943" s="1524"/>
      <c r="AD943" s="1524"/>
      <c r="AE943" s="1524"/>
      <c r="AF943" s="1633"/>
      <c r="AZ943" s="34"/>
      <c r="BA943" s="34"/>
      <c r="BB943" s="34"/>
      <c r="BC943" s="34"/>
    </row>
    <row r="944" spans="6:55" ht="12.9" customHeight="1">
      <c r="F944" s="1629" t="s">
        <v>2206</v>
      </c>
      <c r="G944" s="1630"/>
      <c r="H944" s="1630"/>
      <c r="I944" s="1630"/>
      <c r="J944" s="1630"/>
      <c r="K944" s="1630"/>
      <c r="L944" s="1630"/>
      <c r="M944" s="1630"/>
      <c r="N944" s="1630"/>
      <c r="O944" s="1630"/>
      <c r="P944" s="1630"/>
      <c r="Q944" s="1630"/>
      <c r="R944" s="1630"/>
      <c r="S944" s="1630"/>
      <c r="T944" s="1631"/>
      <c r="U944" s="1628" t="s">
        <v>592</v>
      </c>
      <c r="V944" s="1427"/>
      <c r="W944" s="1427"/>
      <c r="X944" s="1427"/>
      <c r="Y944" s="1427"/>
      <c r="Z944" s="1428"/>
      <c r="AA944" s="1632"/>
      <c r="AB944" s="1524"/>
      <c r="AC944" s="1524"/>
      <c r="AD944" s="1524"/>
      <c r="AE944" s="1524"/>
      <c r="AF944" s="1633"/>
      <c r="AZ944" s="34"/>
      <c r="BA944" s="34"/>
      <c r="BB944" s="34"/>
      <c r="BC944" s="34"/>
    </row>
    <row r="945" spans="1:55" ht="12.9" customHeight="1">
      <c r="F945" s="45" t="s">
        <v>807</v>
      </c>
      <c r="G945" s="5"/>
      <c r="H945" s="5"/>
      <c r="I945" s="5"/>
      <c r="J945" s="5"/>
      <c r="K945" s="5"/>
      <c r="L945" s="5"/>
      <c r="M945" s="5"/>
      <c r="N945" s="5"/>
      <c r="O945" s="5"/>
      <c r="P945" s="1628" t="s">
        <v>670</v>
      </c>
      <c r="Q945" s="1427"/>
      <c r="R945" s="1427"/>
      <c r="S945" s="1427"/>
      <c r="T945" s="1428"/>
      <c r="U945" s="1628" t="s">
        <v>592</v>
      </c>
      <c r="V945" s="1427"/>
      <c r="W945" s="1427"/>
      <c r="X945" s="1427"/>
      <c r="Y945" s="1427"/>
      <c r="Z945" s="1428"/>
      <c r="AA945" s="1632"/>
      <c r="AB945" s="1524"/>
      <c r="AC945" s="1524"/>
      <c r="AD945" s="1524"/>
      <c r="AE945" s="1524"/>
      <c r="AF945" s="1633"/>
      <c r="AZ945" s="34"/>
      <c r="BA945" s="34"/>
      <c r="BB945" s="34"/>
      <c r="BC945" s="34"/>
    </row>
    <row r="946" spans="1:55" ht="12.9" customHeight="1">
      <c r="F946" s="1625" t="s">
        <v>2193</v>
      </c>
      <c r="G946" s="1626"/>
      <c r="H946" s="1627"/>
      <c r="I946" s="1642" t="s">
        <v>334</v>
      </c>
      <c r="J946" s="1643"/>
      <c r="K946" s="1643"/>
      <c r="L946" s="1643"/>
      <c r="M946" s="1643"/>
      <c r="N946" s="1643"/>
      <c r="O946" s="1643"/>
      <c r="P946" s="1643"/>
      <c r="Q946" s="1643"/>
      <c r="R946" s="1643"/>
      <c r="S946" s="1643"/>
      <c r="T946" s="1644"/>
      <c r="U946" s="1628" t="s">
        <v>592</v>
      </c>
      <c r="V946" s="1427"/>
      <c r="W946" s="1427"/>
      <c r="X946" s="1427"/>
      <c r="Y946" s="1427"/>
      <c r="Z946" s="1428"/>
      <c r="AA946" s="1632"/>
      <c r="AB946" s="1524"/>
      <c r="AC946" s="1524"/>
      <c r="AD946" s="1524"/>
      <c r="AE946" s="1524"/>
      <c r="AF946" s="1633"/>
      <c r="AZ946" s="34"/>
      <c r="BA946" s="34"/>
      <c r="BB946" s="34"/>
      <c r="BC946" s="34"/>
    </row>
    <row r="947" spans="1:55" ht="12.9" customHeight="1">
      <c r="F947" s="45" t="s">
        <v>86</v>
      </c>
      <c r="G947" s="48"/>
      <c r="H947" s="48"/>
      <c r="I947" s="1642" t="s">
        <v>334</v>
      </c>
      <c r="J947" s="1643"/>
      <c r="K947" s="1643"/>
      <c r="L947" s="1643"/>
      <c r="M947" s="1643"/>
      <c r="N947" s="1643"/>
      <c r="O947" s="1643"/>
      <c r="P947" s="1643"/>
      <c r="Q947" s="1643"/>
      <c r="R947" s="1643"/>
      <c r="S947" s="1643"/>
      <c r="T947" s="1644"/>
      <c r="U947" s="1628" t="s">
        <v>592</v>
      </c>
      <c r="V947" s="1427"/>
      <c r="W947" s="1427"/>
      <c r="X947" s="1427"/>
      <c r="Y947" s="1427"/>
      <c r="Z947" s="1428"/>
      <c r="AA947" s="1632"/>
      <c r="AB947" s="1524"/>
      <c r="AC947" s="1524"/>
      <c r="AD947" s="1524"/>
      <c r="AE947" s="1524"/>
      <c r="AF947" s="1633"/>
      <c r="AZ947" s="34"/>
      <c r="BA947" s="34"/>
      <c r="BB947" s="34"/>
      <c r="BC947" s="34"/>
    </row>
    <row r="948" spans="1:55" ht="12.9" customHeight="1">
      <c r="F948" s="45" t="s">
        <v>10</v>
      </c>
      <c r="G948" s="48"/>
      <c r="H948" s="48"/>
      <c r="I948" s="1642" t="s">
        <v>2624</v>
      </c>
      <c r="J948" s="1698"/>
      <c r="K948" s="1698"/>
      <c r="L948" s="1698"/>
      <c r="M948" s="1698"/>
      <c r="N948" s="1698"/>
      <c r="O948" s="1698"/>
      <c r="P948" s="1698"/>
      <c r="Q948" s="1698"/>
      <c r="R948" s="1698"/>
      <c r="S948" s="1698"/>
      <c r="T948" s="1699"/>
      <c r="U948" s="1628" t="s">
        <v>546</v>
      </c>
      <c r="V948" s="1427"/>
      <c r="W948" s="1427"/>
      <c r="X948" s="1427"/>
      <c r="Y948" s="1427"/>
      <c r="Z948" s="1428"/>
      <c r="AA948" s="1632">
        <v>2500000</v>
      </c>
      <c r="AB948" s="1524"/>
      <c r="AC948" s="1524"/>
      <c r="AD948" s="1524"/>
      <c r="AE948" s="1524"/>
      <c r="AF948" s="1633"/>
      <c r="AV948" s="2"/>
      <c r="AW948" s="2"/>
      <c r="AX948" s="2"/>
      <c r="AY948" s="2"/>
      <c r="AZ948" s="34"/>
      <c r="BA948" s="34"/>
      <c r="BB948" s="34"/>
      <c r="BC948" s="34"/>
    </row>
    <row r="949" spans="1:55" ht="12.9" customHeight="1">
      <c r="F949" s="47" t="s">
        <v>170</v>
      </c>
      <c r="G949" s="48"/>
      <c r="H949" s="48"/>
      <c r="I949" s="1701" t="s">
        <v>334</v>
      </c>
      <c r="J949" s="1698"/>
      <c r="K949" s="1698"/>
      <c r="L949" s="1698"/>
      <c r="M949" s="1698"/>
      <c r="N949" s="1698"/>
      <c r="O949" s="1698"/>
      <c r="P949" s="1698"/>
      <c r="Q949" s="1698"/>
      <c r="R949" s="1698"/>
      <c r="S949" s="1698"/>
      <c r="T949" s="1699"/>
      <c r="U949" s="1628" t="s">
        <v>592</v>
      </c>
      <c r="V949" s="1427"/>
      <c r="W949" s="1427"/>
      <c r="X949" s="1427"/>
      <c r="Y949" s="1427"/>
      <c r="Z949" s="1428"/>
      <c r="AA949" s="1632"/>
      <c r="AB949" s="1524"/>
      <c r="AC949" s="1524"/>
      <c r="AD949" s="1524"/>
      <c r="AE949" s="1524"/>
      <c r="AF949" s="1633"/>
      <c r="AU949" s="2"/>
      <c r="AZ949" s="34"/>
      <c r="BA949" s="34"/>
      <c r="BB949" s="34"/>
      <c r="BC949" s="34"/>
    </row>
    <row r="950" spans="1:55" ht="12.9" customHeight="1">
      <c r="F950" s="47" t="s">
        <v>170</v>
      </c>
      <c r="G950" s="48"/>
      <c r="H950" s="48"/>
      <c r="I950" s="1701" t="s">
        <v>334</v>
      </c>
      <c r="J950" s="1698"/>
      <c r="K950" s="1698"/>
      <c r="L950" s="1698"/>
      <c r="M950" s="1698"/>
      <c r="N950" s="1698"/>
      <c r="O950" s="1698"/>
      <c r="P950" s="1698"/>
      <c r="Q950" s="1698"/>
      <c r="R950" s="1698"/>
      <c r="S950" s="1698"/>
      <c r="T950" s="1699"/>
      <c r="U950" s="1628" t="s">
        <v>592</v>
      </c>
      <c r="V950" s="1427"/>
      <c r="W950" s="1427"/>
      <c r="X950" s="1427"/>
      <c r="Y950" s="1427"/>
      <c r="Z950" s="1428"/>
      <c r="AA950" s="1632"/>
      <c r="AB950" s="1524"/>
      <c r="AC950" s="1524"/>
      <c r="AD950" s="1524"/>
      <c r="AE950" s="1524"/>
      <c r="AF950" s="1633"/>
      <c r="AU950" s="2"/>
      <c r="AZ950" s="34"/>
      <c r="BA950" s="34"/>
      <c r="BB950" s="34"/>
      <c r="BC950" s="34"/>
    </row>
    <row r="951" spans="1:55" ht="12.9" customHeight="1">
      <c r="AU951" s="2"/>
      <c r="AZ951" s="34"/>
      <c r="BA951" s="34"/>
      <c r="BB951" s="34"/>
      <c r="BC951" s="34"/>
    </row>
    <row r="952" spans="1:55" ht="12.9" customHeight="1">
      <c r="A952" s="2" t="s">
        <v>577</v>
      </c>
      <c r="C952" s="2" t="s">
        <v>752</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702">
        <v>45673</v>
      </c>
      <c r="N955" s="1520"/>
      <c r="O955" s="1520"/>
      <c r="P955" s="1520"/>
      <c r="Q955" s="1520"/>
      <c r="R955" s="1520"/>
      <c r="S955" s="1623"/>
      <c r="U955" s="66" t="s">
        <v>11</v>
      </c>
      <c r="V955" s="5"/>
      <c r="W955" s="5"/>
      <c r="X955" s="5"/>
      <c r="Y955" s="5"/>
      <c r="Z955" s="5"/>
      <c r="AA955" s="5"/>
      <c r="AB955" s="5"/>
      <c r="AC955" s="5"/>
      <c r="AD955" s="46"/>
      <c r="AE955" s="1702"/>
      <c r="AF955" s="1520"/>
      <c r="AG955" s="1520"/>
      <c r="AH955" s="1520"/>
      <c r="AI955" s="1520"/>
      <c r="AJ955" s="1520"/>
      <c r="AK955" s="1623"/>
      <c r="AZ955" s="34"/>
      <c r="BA955" s="34"/>
      <c r="BB955" s="34"/>
      <c r="BC955" s="34"/>
    </row>
    <row r="956" spans="1:55" ht="12.9" customHeight="1">
      <c r="C956" s="66" t="s">
        <v>12</v>
      </c>
      <c r="D956" s="5"/>
      <c r="E956" s="5"/>
      <c r="F956" s="5"/>
      <c r="G956" s="5"/>
      <c r="H956" s="5"/>
      <c r="I956" s="5"/>
      <c r="J956" s="5"/>
      <c r="K956" s="5"/>
      <c r="L956" s="46"/>
      <c r="M956" s="1661" t="s">
        <v>2628</v>
      </c>
      <c r="N956" s="1532"/>
      <c r="O956" s="1532"/>
      <c r="P956" s="1532"/>
      <c r="Q956" s="1532"/>
      <c r="R956" s="1532"/>
      <c r="S956" s="1662"/>
      <c r="U956" s="66" t="s">
        <v>12</v>
      </c>
      <c r="V956" s="5"/>
      <c r="W956" s="5"/>
      <c r="X956" s="5"/>
      <c r="Y956" s="5"/>
      <c r="Z956" s="5"/>
      <c r="AA956" s="5"/>
      <c r="AB956" s="5"/>
      <c r="AC956" s="5"/>
      <c r="AD956" s="46"/>
      <c r="AE956" s="1661"/>
      <c r="AF956" s="1532"/>
      <c r="AG956" s="1532"/>
      <c r="AH956" s="1532"/>
      <c r="AI956" s="1532"/>
      <c r="AJ956" s="1532"/>
      <c r="AK956" s="1662"/>
      <c r="AZ956" s="34"/>
      <c r="BA956" s="34"/>
      <c r="BB956" s="34"/>
      <c r="BC956" s="34"/>
    </row>
    <row r="957" spans="1:55" ht="12.9" customHeight="1">
      <c r="C957" s="66" t="s">
        <v>881</v>
      </c>
      <c r="D957" s="5"/>
      <c r="E957" s="5"/>
      <c r="J957" s="1806" t="s">
        <v>2627</v>
      </c>
      <c r="K957" s="1807"/>
      <c r="L957" s="1807"/>
      <c r="M957" s="1807"/>
      <c r="N957" s="1807"/>
      <c r="O957" s="1807"/>
      <c r="P957" s="1807"/>
      <c r="Q957" s="1807"/>
      <c r="R957" s="1807"/>
      <c r="S957" s="1808"/>
      <c r="U957" s="66" t="s">
        <v>881</v>
      </c>
      <c r="V957" s="5"/>
      <c r="W957" s="5"/>
      <c r="AB957" s="1806" t="s">
        <v>307</v>
      </c>
      <c r="AC957" s="1807"/>
      <c r="AD957" s="1807"/>
      <c r="AE957" s="1807"/>
      <c r="AF957" s="1807"/>
      <c r="AG957" s="1807"/>
      <c r="AH957" s="1807"/>
      <c r="AI957" s="1807"/>
      <c r="AJ957" s="1807"/>
      <c r="AK957" s="1808"/>
      <c r="AZ957" s="34"/>
      <c r="BA957" s="34"/>
      <c r="BB957" s="34"/>
      <c r="BC957" s="34"/>
    </row>
    <row r="958" spans="1:55" ht="12.9" customHeight="1">
      <c r="C958" s="66" t="s">
        <v>13</v>
      </c>
      <c r="D958" s="5"/>
      <c r="E958" s="5"/>
      <c r="F958" s="5"/>
      <c r="G958" s="5"/>
      <c r="H958" s="5"/>
      <c r="I958" s="5"/>
      <c r="J958" s="5"/>
      <c r="K958" s="5"/>
      <c r="L958" s="46"/>
      <c r="M958" s="1703">
        <v>0.4</v>
      </c>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2.9" customHeight="1">
      <c r="C959" s="66" t="s">
        <v>14</v>
      </c>
      <c r="D959" s="5"/>
      <c r="E959" s="5"/>
      <c r="F959" s="5"/>
      <c r="G959" s="5"/>
      <c r="H959" s="5"/>
      <c r="I959" s="5"/>
      <c r="J959" s="5"/>
      <c r="K959" s="5"/>
      <c r="L959" s="46"/>
      <c r="M959" s="1723">
        <v>20</v>
      </c>
      <c r="N959" s="1608"/>
      <c r="O959" s="1608"/>
      <c r="P959" s="1608"/>
      <c r="Q959" s="1608"/>
      <c r="R959" s="1608"/>
      <c r="S959" s="1609"/>
      <c r="U959" s="66" t="s">
        <v>14</v>
      </c>
      <c r="V959" s="5"/>
      <c r="W959" s="5"/>
      <c r="X959" s="5"/>
      <c r="Y959" s="5"/>
      <c r="Z959" s="5"/>
      <c r="AA959" s="5"/>
      <c r="AB959" s="5"/>
      <c r="AC959" s="5"/>
      <c r="AD959" s="46"/>
      <c r="AE959" s="1723"/>
      <c r="AF959" s="1608"/>
      <c r="AG959" s="1608"/>
      <c r="AH959" s="1608"/>
      <c r="AI959" s="1608"/>
      <c r="AJ959" s="1608"/>
      <c r="AK959" s="1609"/>
      <c r="AV959" s="2"/>
      <c r="AW959" s="2"/>
      <c r="AX959" s="2"/>
      <c r="AY959" s="2"/>
      <c r="AZ959" s="34"/>
      <c r="BA959" s="34"/>
      <c r="BB959" s="34"/>
      <c r="BC959" s="34"/>
    </row>
    <row r="960" spans="1:55" ht="12.9" customHeight="1">
      <c r="C960" s="66" t="s">
        <v>15</v>
      </c>
      <c r="D960" s="5"/>
      <c r="E960" s="5"/>
      <c r="F960" s="5"/>
      <c r="G960" s="5"/>
      <c r="H960" s="5"/>
      <c r="I960" s="5"/>
      <c r="J960" s="5"/>
      <c r="K960" s="5"/>
      <c r="L960" s="46"/>
      <c r="M960" s="1632">
        <v>832292</v>
      </c>
      <c r="N960" s="1524"/>
      <c r="O960" s="1524"/>
      <c r="P960" s="1524"/>
      <c r="Q960" s="1524"/>
      <c r="R960" s="1524"/>
      <c r="S960" s="1633"/>
      <c r="U960" s="66" t="s">
        <v>15</v>
      </c>
      <c r="V960" s="5"/>
      <c r="W960" s="5"/>
      <c r="X960" s="5"/>
      <c r="Y960" s="5"/>
      <c r="Z960" s="5"/>
      <c r="AA960" s="5"/>
      <c r="AB960" s="5"/>
      <c r="AC960" s="5"/>
      <c r="AD960" s="46"/>
      <c r="AE960" s="1632"/>
      <c r="AF960" s="1524"/>
      <c r="AG960" s="1524"/>
      <c r="AH960" s="1524"/>
      <c r="AI960" s="1524"/>
      <c r="AJ960" s="1524"/>
      <c r="AK960" s="1633"/>
      <c r="AV960" s="2"/>
      <c r="AW960" s="2"/>
      <c r="AX960" s="2"/>
      <c r="AY960" s="2"/>
      <c r="AZ960" s="34"/>
      <c r="BA960" s="34"/>
      <c r="BB960" s="34"/>
      <c r="BC960" s="34"/>
    </row>
    <row r="961" spans="1:64" ht="12.9" customHeight="1">
      <c r="C961" s="66" t="s">
        <v>16</v>
      </c>
      <c r="D961" s="5"/>
      <c r="E961" s="5"/>
      <c r="F961" s="5"/>
      <c r="G961" s="5"/>
      <c r="H961" s="5"/>
      <c r="I961" s="5"/>
      <c r="J961" s="5"/>
      <c r="K961" s="5"/>
      <c r="L961" s="46"/>
      <c r="M961" s="1632">
        <f>M960*M962</f>
        <v>16645840</v>
      </c>
      <c r="N961" s="1524"/>
      <c r="O961" s="1524"/>
      <c r="P961" s="1524"/>
      <c r="Q961" s="1524"/>
      <c r="R961" s="1524"/>
      <c r="S961" s="1633"/>
      <c r="U961" s="66" t="s">
        <v>16</v>
      </c>
      <c r="V961" s="5"/>
      <c r="W961" s="5"/>
      <c r="X961" s="5"/>
      <c r="Y961" s="5"/>
      <c r="Z961" s="5"/>
      <c r="AA961" s="5"/>
      <c r="AB961" s="5"/>
      <c r="AC961" s="5"/>
      <c r="AD961" s="46"/>
      <c r="AE961" s="1632"/>
      <c r="AF961" s="1524"/>
      <c r="AG961" s="1524"/>
      <c r="AH961" s="1524"/>
      <c r="AI961" s="1524"/>
      <c r="AJ961" s="1524"/>
      <c r="AK961" s="1633"/>
      <c r="AV961" s="2"/>
      <c r="AW961" s="2"/>
      <c r="AX961" s="2"/>
      <c r="AY961" s="2"/>
      <c r="AZ961" s="34"/>
      <c r="BB961" s="34"/>
      <c r="BC961" s="34"/>
    </row>
    <row r="962" spans="1:64" ht="12.9" customHeight="1">
      <c r="C962" s="121" t="s">
        <v>1662</v>
      </c>
      <c r="D962" s="5"/>
      <c r="E962" s="5"/>
      <c r="F962" s="5"/>
      <c r="G962" s="5"/>
      <c r="H962" s="5"/>
      <c r="I962" s="5"/>
      <c r="J962" s="5"/>
      <c r="K962" s="5"/>
      <c r="L962" s="46"/>
      <c r="M962" s="1774">
        <v>20</v>
      </c>
      <c r="N962" s="1775"/>
      <c r="O962" s="1775"/>
      <c r="P962" s="1775"/>
      <c r="Q962" s="1775"/>
      <c r="R962" s="1775"/>
      <c r="S962" s="1776"/>
      <c r="U962" s="121" t="s">
        <v>1662</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572</v>
      </c>
      <c r="G967" s="5"/>
      <c r="H967" s="5"/>
      <c r="I967" s="5"/>
      <c r="J967" s="5"/>
      <c r="K967" s="5"/>
      <c r="L967" s="46"/>
      <c r="M967" s="1658"/>
      <c r="N967" s="1659"/>
      <c r="O967" s="1659"/>
      <c r="P967" s="1659"/>
      <c r="Q967" s="1659"/>
      <c r="R967" s="1659"/>
      <c r="S967" s="1660"/>
      <c r="T967" s="66" t="s">
        <v>791</v>
      </c>
      <c r="U967" s="5"/>
      <c r="V967" s="5"/>
      <c r="W967" s="5"/>
      <c r="X967" s="5"/>
      <c r="Y967" s="5"/>
      <c r="Z967" s="46"/>
      <c r="AA967" s="1658"/>
      <c r="AB967" s="1659"/>
      <c r="AC967" s="1659"/>
      <c r="AD967" s="1659"/>
      <c r="AE967" s="1659"/>
      <c r="AF967" s="1659"/>
      <c r="AG967" s="166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573</v>
      </c>
      <c r="G968" s="5"/>
      <c r="H968" s="5"/>
      <c r="I968" s="5"/>
      <c r="J968" s="5"/>
      <c r="K968" s="5"/>
      <c r="L968" s="46"/>
      <c r="M968" s="1658"/>
      <c r="N968" s="1659"/>
      <c r="O968" s="1659"/>
      <c r="P968" s="1659"/>
      <c r="Q968" s="1659"/>
      <c r="R968" s="1659"/>
      <c r="S968" s="1660"/>
      <c r="T968" s="66" t="s">
        <v>790</v>
      </c>
      <c r="U968" s="5"/>
      <c r="V968" s="5"/>
      <c r="W968" s="5"/>
      <c r="X968" s="5"/>
      <c r="Y968" s="5"/>
      <c r="Z968" s="46"/>
      <c r="AA968" s="1658"/>
      <c r="AB968" s="1659"/>
      <c r="AC968" s="1659"/>
      <c r="AD968" s="1659"/>
      <c r="AE968" s="1659"/>
      <c r="AF968" s="1659"/>
      <c r="AG968" s="16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902</v>
      </c>
      <c r="G969" s="5"/>
      <c r="H969" s="5"/>
      <c r="I969" s="5"/>
      <c r="J969" s="5"/>
      <c r="K969" s="5"/>
      <c r="L969" s="46"/>
      <c r="M969" s="1706" t="s">
        <v>592</v>
      </c>
      <c r="N969" s="1707"/>
      <c r="O969" s="1707"/>
      <c r="P969" s="1707"/>
      <c r="Q969" s="1707"/>
      <c r="R969" s="1707"/>
      <c r="S969" s="1708"/>
      <c r="T969" s="45" t="s">
        <v>337</v>
      </c>
      <c r="U969" s="5"/>
      <c r="V969" s="5"/>
      <c r="W969" s="5"/>
      <c r="X969" s="5"/>
      <c r="Y969" s="5"/>
      <c r="Z969" s="46"/>
      <c r="AA969" s="1658"/>
      <c r="AB969" s="1659"/>
      <c r="AC969" s="1659"/>
      <c r="AD969" s="1659"/>
      <c r="AE969" s="1659"/>
      <c r="AF969" s="1659"/>
      <c r="AG969" s="16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574</v>
      </c>
      <c r="G970" s="5"/>
      <c r="H970" s="5"/>
      <c r="I970" s="5"/>
      <c r="J970" s="5"/>
      <c r="K970" s="5"/>
      <c r="L970" s="46"/>
      <c r="M970" s="1658"/>
      <c r="N970" s="1659"/>
      <c r="O970" s="1659"/>
      <c r="P970" s="1659"/>
      <c r="Q970" s="1659"/>
      <c r="R970" s="1659"/>
      <c r="S970" s="1660"/>
      <c r="T970" s="45" t="s">
        <v>338</v>
      </c>
      <c r="U970" s="5"/>
      <c r="V970" s="5"/>
      <c r="W970" s="5"/>
      <c r="X970" s="5"/>
      <c r="Y970" s="5"/>
      <c r="Z970" s="46"/>
      <c r="AA970" s="1658"/>
      <c r="AB970" s="1659"/>
      <c r="AC970" s="1659"/>
      <c r="AD970" s="1659"/>
      <c r="AE970" s="1659"/>
      <c r="AF970" s="1659"/>
      <c r="AG970" s="16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465</v>
      </c>
      <c r="G971" s="5"/>
      <c r="H971" s="5"/>
      <c r="I971" s="5"/>
      <c r="J971" s="5"/>
      <c r="K971" s="5"/>
      <c r="L971" s="46"/>
      <c r="M971" s="1658"/>
      <c r="N971" s="1659"/>
      <c r="O971" s="1659"/>
      <c r="P971" s="1659"/>
      <c r="Q971" s="1659"/>
      <c r="R971" s="1659"/>
      <c r="S971" s="1660"/>
      <c r="T971" s="45" t="s">
        <v>376</v>
      </c>
      <c r="U971" s="5"/>
      <c r="V971" s="5"/>
      <c r="W971" s="5"/>
      <c r="X971" s="5"/>
      <c r="Y971" s="5"/>
      <c r="Z971" s="46"/>
      <c r="AA971" s="1658"/>
      <c r="AB971" s="1659"/>
      <c r="AC971" s="1659"/>
      <c r="AD971" s="1659"/>
      <c r="AE971" s="1659"/>
      <c r="AF971" s="1659"/>
      <c r="AG971" s="166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881</v>
      </c>
      <c r="G972" s="42"/>
      <c r="H972" s="42"/>
      <c r="I972" s="42"/>
      <c r="J972" s="42"/>
      <c r="K972" s="42"/>
      <c r="L972" s="58"/>
      <c r="M972" s="1806" t="s">
        <v>307</v>
      </c>
      <c r="N972" s="1807"/>
      <c r="O972" s="1807"/>
      <c r="P972" s="1807"/>
      <c r="Q972" s="1807"/>
      <c r="R972" s="1807"/>
      <c r="S972" s="1808"/>
      <c r="T972" s="1761"/>
      <c r="U972" s="1762"/>
      <c r="V972" s="1762"/>
      <c r="W972" s="1762"/>
      <c r="X972" s="1762"/>
      <c r="Y972" s="1762"/>
      <c r="Z972" s="1763"/>
      <c r="AA972" s="1658"/>
      <c r="AB972" s="1659"/>
      <c r="AC972" s="1659"/>
      <c r="AD972" s="1659"/>
      <c r="AE972" s="1659"/>
      <c r="AF972" s="1659"/>
      <c r="AG972" s="16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466</v>
      </c>
      <c r="G973" s="42"/>
      <c r="H973" s="42"/>
      <c r="I973" s="42"/>
      <c r="J973" s="42"/>
      <c r="K973" s="42"/>
      <c r="L973" s="58"/>
      <c r="M973" s="1658"/>
      <c r="N973" s="1659"/>
      <c r="O973" s="1659"/>
      <c r="P973" s="1659"/>
      <c r="Q973" s="1659"/>
      <c r="R973" s="1659"/>
      <c r="S973" s="1660"/>
      <c r="T973" s="1761"/>
      <c r="U973" s="1762"/>
      <c r="V973" s="1762"/>
      <c r="W973" s="1762"/>
      <c r="X973" s="1762"/>
      <c r="Y973" s="1762"/>
      <c r="Z973" s="1763"/>
      <c r="AA973" s="1658"/>
      <c r="AB973" s="1659"/>
      <c r="AC973" s="1659"/>
      <c r="AD973" s="1659"/>
      <c r="AE973" s="1659"/>
      <c r="AF973" s="1659"/>
      <c r="AG973" s="166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370" t="s">
        <v>670</v>
      </c>
      <c r="P974" s="1372"/>
      <c r="Q974" s="92"/>
      <c r="R974" s="92"/>
      <c r="S974" s="93"/>
      <c r="T974" s="41" t="s">
        <v>170</v>
      </c>
      <c r="U974" s="42"/>
      <c r="V974" s="42"/>
      <c r="W974" s="1809" t="s">
        <v>334</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2.9" customHeight="1">
      <c r="F975" s="1603" t="s">
        <v>33</v>
      </c>
      <c r="G975" s="1483"/>
      <c r="H975" s="1483"/>
      <c r="I975" s="1483"/>
      <c r="J975" s="1483"/>
      <c r="K975" s="1483"/>
      <c r="L975" s="1483"/>
      <c r="M975" s="1658"/>
      <c r="N975" s="1659"/>
      <c r="O975" s="1659"/>
      <c r="P975" s="1659"/>
      <c r="Q975" s="1659"/>
      <c r="R975" s="1659"/>
      <c r="S975" s="1660"/>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4"/>
      <c r="BH976" s="1634"/>
      <c r="BI976" s="1634"/>
      <c r="BJ976" s="1634"/>
      <c r="BK976" s="1634"/>
      <c r="BL976" s="1634"/>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534" t="s">
        <v>549</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2.9"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2.9"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789" t="s">
        <v>639</v>
      </c>
      <c r="E985" s="1790"/>
      <c r="F985" s="1790"/>
      <c r="G985" s="1790"/>
      <c r="H985" s="1790"/>
      <c r="I985" s="1790"/>
      <c r="J985" s="1790"/>
      <c r="K985" s="1790"/>
      <c r="L985" s="1790"/>
      <c r="M985" s="1790"/>
      <c r="N985" s="1790"/>
      <c r="O985" s="1790"/>
      <c r="P985" s="1790"/>
      <c r="Q985" s="1791"/>
      <c r="R985" s="1789" t="s">
        <v>640</v>
      </c>
      <c r="S985" s="1790"/>
      <c r="T985" s="1790"/>
      <c r="U985" s="1790"/>
      <c r="V985" s="1790"/>
      <c r="W985" s="1790"/>
      <c r="X985" s="1790"/>
      <c r="Y985" s="1790"/>
      <c r="Z985" s="1790"/>
      <c r="AA985" s="1791"/>
      <c r="AB985" s="1789" t="s">
        <v>641</v>
      </c>
      <c r="AC985" s="1790"/>
      <c r="AD985" s="1790"/>
      <c r="AE985" s="1790"/>
      <c r="AF985" s="1790"/>
      <c r="AG985" s="1790"/>
      <c r="AH985" s="1790"/>
      <c r="AI985" s="1791"/>
      <c r="AJ985" s="1789" t="s">
        <v>642</v>
      </c>
      <c r="AK985" s="1790"/>
      <c r="AL985" s="1790"/>
      <c r="AM985" s="1790"/>
      <c r="AN985" s="1790"/>
      <c r="AO985" s="1790"/>
      <c r="AP985" s="1790"/>
      <c r="AQ985" s="1791"/>
      <c r="AR985" s="68"/>
      <c r="AS985" s="68"/>
      <c r="AT985" s="68"/>
      <c r="AU985" s="68"/>
      <c r="AV985" s="68"/>
      <c r="AW985" s="68"/>
      <c r="AX985" s="68"/>
      <c r="AY985" s="68"/>
      <c r="AZ985" s="30"/>
      <c r="BB985" s="14"/>
      <c r="BC985" s="14"/>
    </row>
    <row r="986" spans="1:64" ht="12.9" customHeight="1">
      <c r="A986" s="14"/>
      <c r="B986" s="73"/>
      <c r="C986" s="929"/>
      <c r="D986" s="1795" t="s">
        <v>634</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404366</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2.9" customHeight="1">
      <c r="A987" s="14"/>
      <c r="B987" s="73"/>
      <c r="C987" s="83"/>
      <c r="D987" s="1795" t="s">
        <v>325</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466230</v>
      </c>
      <c r="S987" s="1782"/>
      <c r="T987" s="1782"/>
      <c r="U987" s="1782"/>
      <c r="V987" s="1782"/>
      <c r="W987" s="1782"/>
      <c r="X987" s="1782"/>
      <c r="Y987" s="1782"/>
      <c r="Z987" s="1782"/>
      <c r="AA987" s="1782"/>
      <c r="AB987" s="1779">
        <f>CU802</f>
        <v>23</v>
      </c>
      <c r="AC987" s="1780"/>
      <c r="AD987" s="1780"/>
      <c r="AE987" s="1780"/>
      <c r="AF987" s="1780"/>
      <c r="AG987" s="1780"/>
      <c r="AH987" s="1780"/>
      <c r="AI987" s="1781"/>
      <c r="AJ987" s="1715">
        <f>IF(ISERROR((R987*AB987)),0,(R987*AB987))</f>
        <v>10723290</v>
      </c>
      <c r="AK987" s="1716"/>
      <c r="AL987" s="1716"/>
      <c r="AM987" s="1716"/>
      <c r="AN987" s="1716"/>
      <c r="AO987" s="1716"/>
      <c r="AP987" s="1716"/>
      <c r="AQ987" s="1717"/>
      <c r="AR987" s="68"/>
      <c r="AS987" s="68"/>
      <c r="AT987" s="68"/>
      <c r="AU987" s="68"/>
      <c r="AV987" s="68"/>
      <c r="AW987" s="68"/>
      <c r="AX987" s="68"/>
      <c r="AY987" s="68"/>
      <c r="AZ987" s="30"/>
      <c r="BB987" s="14"/>
      <c r="BC987" s="14"/>
    </row>
    <row r="988" spans="1:64" ht="12.9"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562400</v>
      </c>
      <c r="S988" s="1782"/>
      <c r="T988" s="1782"/>
      <c r="U988" s="1782"/>
      <c r="V988" s="1782"/>
      <c r="W988" s="1782"/>
      <c r="X988" s="1782"/>
      <c r="Y988" s="1782"/>
      <c r="Z988" s="1782"/>
      <c r="AA988" s="1782"/>
      <c r="AB988" s="1779">
        <f>CZ802</f>
        <v>14</v>
      </c>
      <c r="AC988" s="1780"/>
      <c r="AD988" s="1780"/>
      <c r="AE988" s="1780"/>
      <c r="AF988" s="1780"/>
      <c r="AG988" s="1780"/>
      <c r="AH988" s="1780"/>
      <c r="AI988" s="1781"/>
      <c r="AJ988" s="1715">
        <f>IF(ISERROR((R988*AB988)),0,(R988*AB988))</f>
        <v>7873600</v>
      </c>
      <c r="AK988" s="1716"/>
      <c r="AL988" s="1716"/>
      <c r="AM988" s="1716"/>
      <c r="AN988" s="1716"/>
      <c r="AO988" s="1716"/>
      <c r="AP988" s="1716"/>
      <c r="AQ988" s="1717"/>
      <c r="AR988" s="68"/>
      <c r="AS988" s="68"/>
      <c r="AT988" s="68"/>
      <c r="AU988" s="68"/>
      <c r="AV988" s="68"/>
      <c r="AW988" s="68"/>
      <c r="AX988" s="68"/>
      <c r="AY988" s="68"/>
      <c r="AZ988" s="30"/>
      <c r="BB988" s="14"/>
      <c r="BC988" s="14"/>
    </row>
    <row r="989" spans="1:64" ht="12.9"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719872</v>
      </c>
      <c r="S989" s="1782"/>
      <c r="T989" s="1782"/>
      <c r="U989" s="1782"/>
      <c r="V989" s="1782"/>
      <c r="W989" s="1782"/>
      <c r="X989" s="1782"/>
      <c r="Y989" s="1782"/>
      <c r="Z989" s="1782"/>
      <c r="AA989" s="1782"/>
      <c r="AB989" s="1779">
        <f>DE802</f>
        <v>13</v>
      </c>
      <c r="AC989" s="1780"/>
      <c r="AD989" s="1780"/>
      <c r="AE989" s="1780"/>
      <c r="AF989" s="1780"/>
      <c r="AG989" s="1780"/>
      <c r="AH989" s="1780"/>
      <c r="AI989" s="1781"/>
      <c r="AJ989" s="1715">
        <f>IF(ISERROR((R989*AB989)),0,(R989*AB989))</f>
        <v>9358336</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2.9" customHeight="1">
      <c r="A990" s="14"/>
      <c r="B990" s="47"/>
      <c r="C990" s="78"/>
      <c r="D990" s="1795" t="s">
        <v>461</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801982</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2.9" customHeight="1">
      <c r="A991" s="14"/>
      <c r="B991" s="1736" t="s">
        <v>792</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50</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2.9" customHeight="1">
      <c r="A992" s="14"/>
      <c r="B992" s="1792" t="s">
        <v>513</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27955226</v>
      </c>
      <c r="AK992" s="1716"/>
      <c r="AL992" s="1716"/>
      <c r="AM992" s="1716"/>
      <c r="AN992" s="1716"/>
      <c r="AO992" s="1716"/>
      <c r="AP992" s="1716"/>
      <c r="AQ992" s="1717"/>
      <c r="AR992" s="68"/>
      <c r="AS992" s="68"/>
      <c r="AT992" s="68"/>
      <c r="AU992" s="68"/>
      <c r="AV992" s="68"/>
      <c r="AW992" s="68"/>
      <c r="AX992" s="68"/>
      <c r="AY992" s="68"/>
      <c r="AZ992" s="34"/>
      <c r="BB992" s="34"/>
      <c r="BC992" s="34"/>
    </row>
    <row r="993" spans="1:55" ht="12.9"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667</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2.9" customHeight="1">
      <c r="A994" s="14"/>
      <c r="B994" s="73"/>
      <c r="C994" s="927" t="s">
        <v>669</v>
      </c>
      <c r="D994" s="1733" t="s">
        <v>1221</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546</v>
      </c>
      <c r="AH994" s="1828"/>
      <c r="AI994" s="87"/>
      <c r="AJ994" s="1724">
        <f>ROUND(IF(AND(AG994="yes",D1000&gt;0),AJ992*0.2,0),0)</f>
        <v>5591045</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2.9" customHeight="1">
      <c r="A995" s="14"/>
      <c r="B995" s="257"/>
      <c r="C995" s="256"/>
      <c r="D995" s="1767" t="s">
        <v>2237</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2.9"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2.9"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2.9"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2.9" customHeight="1">
      <c r="A999" s="14"/>
      <c r="B999" s="257"/>
      <c r="C999" s="256"/>
      <c r="D999" s="1770" t="s">
        <v>2207</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2.9" customHeight="1">
      <c r="A1000" s="14"/>
      <c r="B1000" s="257"/>
      <c r="C1000" s="256"/>
      <c r="D1000" s="1739" t="s">
        <v>2720</v>
      </c>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2.9" customHeight="1">
      <c r="A1001" s="14"/>
      <c r="B1001" s="255"/>
      <c r="C1001" s="318"/>
      <c r="D1001" s="1764" t="s">
        <v>1287</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670</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2.9" customHeight="1">
      <c r="A1002" s="14"/>
      <c r="B1002" s="257"/>
      <c r="C1002" s="82"/>
      <c r="D1002" s="1767" t="s">
        <v>1285</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2.9"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49</v>
      </c>
      <c r="AZ1003" s="34"/>
      <c r="BB1003" s="34"/>
    </row>
    <row r="1004" spans="1:55" ht="12.9"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2.9"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0.56999999999999995</v>
      </c>
      <c r="AZ1005" s="34"/>
      <c r="BB1005" s="34"/>
    </row>
    <row r="1006" spans="1:55" ht="12.9"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0.26</v>
      </c>
      <c r="AZ1006" s="34"/>
      <c r="BB1006" s="34"/>
    </row>
    <row r="1007" spans="1:55" ht="12.9" customHeight="1">
      <c r="A1007" s="14"/>
      <c r="B1007" s="255"/>
      <c r="C1007" s="80" t="s">
        <v>673</v>
      </c>
      <c r="D1007" s="1764" t="s">
        <v>1684</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670</v>
      </c>
      <c r="AH1007" s="1751"/>
      <c r="AI1007" s="87"/>
      <c r="AJ1007" s="1724">
        <f>ROUND(IF(AG1007="yes",AJ992*0.1,0),0)</f>
        <v>0</v>
      </c>
      <c r="AK1007" s="1725"/>
      <c r="AL1007" s="1725"/>
      <c r="AM1007" s="1725"/>
      <c r="AN1007" s="1725"/>
      <c r="AO1007" s="1725"/>
      <c r="AP1007" s="1725"/>
      <c r="AQ1007" s="1726"/>
      <c r="AR1007" s="68"/>
      <c r="AS1007" s="68"/>
      <c r="AT1007" s="68"/>
      <c r="AU1007" s="68"/>
      <c r="AV1007" s="68"/>
      <c r="AW1007" s="68"/>
      <c r="AX1007" s="68"/>
      <c r="BB1007" s="34"/>
    </row>
    <row r="1008" spans="1:55" ht="12.9" customHeight="1">
      <c r="A1008" s="14"/>
      <c r="B1008" s="73"/>
      <c r="C1008" s="74"/>
      <c r="D1008" s="1695" t="s">
        <v>1286</v>
      </c>
      <c r="E1008" s="1696"/>
      <c r="F1008" s="1696"/>
      <c r="G1008" s="1696"/>
      <c r="H1008" s="1696"/>
      <c r="I1008" s="1696"/>
      <c r="J1008" s="1696"/>
      <c r="K1008" s="1696"/>
      <c r="L1008" s="1696"/>
      <c r="M1008" s="1696"/>
      <c r="N1008" s="1696"/>
      <c r="O1008" s="1696"/>
      <c r="P1008" s="1696"/>
      <c r="Q1008" s="1696"/>
      <c r="R1008" s="1696"/>
      <c r="S1008" s="1696"/>
      <c r="T1008" s="1696"/>
      <c r="U1008" s="1696"/>
      <c r="V1008" s="1696"/>
      <c r="W1008" s="1696"/>
      <c r="X1008" s="1696"/>
      <c r="Y1008" s="1696"/>
      <c r="Z1008" s="1696"/>
      <c r="AA1008" s="1696"/>
      <c r="AB1008" s="1696"/>
      <c r="AC1008" s="1696"/>
      <c r="AD1008" s="1696"/>
      <c r="AE1008" s="1697"/>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2.9" customHeight="1">
      <c r="A1009" s="14"/>
      <c r="B1009" s="73"/>
      <c r="C1009" s="74"/>
      <c r="D1009" s="1695"/>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7"/>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2.9"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2.9" customHeight="1">
      <c r="A1011" s="14"/>
      <c r="B1011" s="79"/>
      <c r="C1011" s="80" t="s">
        <v>212</v>
      </c>
      <c r="D1011" s="1764" t="s">
        <v>1288</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670</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1289</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1842</v>
      </c>
      <c r="AZ1012" s="3" t="s">
        <v>2609</v>
      </c>
    </row>
    <row r="1013" spans="1:52" ht="12.9" customHeight="1">
      <c r="A1013" s="14"/>
      <c r="B1013" s="79"/>
      <c r="C1013" s="80" t="s">
        <v>215</v>
      </c>
      <c r="D1013" s="1764" t="s">
        <v>1290</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670</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0.2</v>
      </c>
      <c r="AZ1013" s="1255">
        <v>0.2</v>
      </c>
    </row>
    <row r="1014" spans="1:52" ht="12.9" customHeight="1">
      <c r="A1014" s="14"/>
      <c r="B1014" s="73"/>
      <c r="C1014" s="74"/>
      <c r="D1014" s="1695" t="s">
        <v>1291</v>
      </c>
      <c r="E1014" s="1696"/>
      <c r="F1014" s="1696"/>
      <c r="G1014" s="1696"/>
      <c r="H1014" s="1696"/>
      <c r="I1014" s="1696"/>
      <c r="J1014" s="1696"/>
      <c r="K1014" s="1696"/>
      <c r="L1014" s="1696"/>
      <c r="M1014" s="1696"/>
      <c r="N1014" s="1696"/>
      <c r="O1014" s="1696"/>
      <c r="P1014" s="1696"/>
      <c r="Q1014" s="1696"/>
      <c r="R1014" s="1696"/>
      <c r="S1014" s="1696"/>
      <c r="T1014" s="1696"/>
      <c r="U1014" s="1696"/>
      <c r="V1014" s="1696"/>
      <c r="W1014" s="1696"/>
      <c r="X1014" s="1696"/>
      <c r="Y1014" s="1696"/>
      <c r="Z1014" s="1696"/>
      <c r="AA1014" s="1696"/>
      <c r="AB1014" s="1696"/>
      <c r="AC1014" s="1696"/>
      <c r="AD1014" s="1696"/>
      <c r="AE1014" s="1697"/>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3">IF((_xlfn.XLOOKUP(AX1014,$C$1065:$C$1103,$A$1065:$A$1103,"",0,1))="Yes",AZ1014,0)</f>
        <v>0</v>
      </c>
      <c r="AZ1014" s="1255">
        <v>0.15</v>
      </c>
    </row>
    <row r="1015" spans="1:52" ht="12.9"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3"/>
        <v>0</v>
      </c>
      <c r="AZ1015" s="1255">
        <v>0.05</v>
      </c>
    </row>
    <row r="1016" spans="1:52" ht="12.9" customHeight="1">
      <c r="A1016" s="14"/>
      <c r="B1016" s="79"/>
      <c r="C1016" s="80" t="s">
        <v>218</v>
      </c>
      <c r="D1016" s="1733" t="s">
        <v>2238</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546</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3"/>
        <v>0</v>
      </c>
      <c r="AZ1016" s="1255">
        <v>0.02</v>
      </c>
    </row>
    <row r="1017" spans="1:52" ht="12.9" customHeight="1">
      <c r="A1017" s="14"/>
      <c r="B1017" s="73"/>
      <c r="C1017" s="74"/>
      <c r="D1017" s="1695" t="s">
        <v>1292</v>
      </c>
      <c r="E1017" s="1696"/>
      <c r="F1017" s="1696"/>
      <c r="G1017" s="1696"/>
      <c r="H1017" s="1696"/>
      <c r="I1017" s="1696"/>
      <c r="J1017" s="1696"/>
      <c r="K1017" s="1696"/>
      <c r="L1017" s="1696"/>
      <c r="M1017" s="1696"/>
      <c r="N1017" s="1696"/>
      <c r="O1017" s="1696"/>
      <c r="P1017" s="1696"/>
      <c r="Q1017" s="1696"/>
      <c r="R1017" s="1696"/>
      <c r="S1017" s="1696"/>
      <c r="T1017" s="1696"/>
      <c r="U1017" s="1696"/>
      <c r="V1017" s="1696"/>
      <c r="W1017" s="1696"/>
      <c r="X1017" s="1696"/>
      <c r="Y1017" s="1696"/>
      <c r="Z1017" s="1696"/>
      <c r="AA1017" s="1696"/>
      <c r="AB1017" s="1696"/>
      <c r="AC1017" s="1696"/>
      <c r="AD1017" s="1696"/>
      <c r="AE1017" s="1697"/>
      <c r="AF1017" s="1842" t="str">
        <f>IF(AND(AG1016="Yes",AY1024=0),AY1027,"")</f>
        <v>Select items beginning on row #1061 to claim this boost</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3"/>
        <v>0</v>
      </c>
      <c r="AZ1017" s="1255">
        <v>0.04</v>
      </c>
    </row>
    <row r="1018" spans="1:52" ht="12.9" customHeight="1">
      <c r="A1018" s="14"/>
      <c r="B1018" s="73"/>
      <c r="C1018" s="74"/>
      <c r="D1018" s="1695"/>
      <c r="E1018" s="1696"/>
      <c r="F1018" s="1696"/>
      <c r="G1018" s="1696"/>
      <c r="H1018" s="1696"/>
      <c r="I1018" s="1696"/>
      <c r="J1018" s="1696"/>
      <c r="K1018" s="1696"/>
      <c r="L1018" s="1696"/>
      <c r="M1018" s="1696"/>
      <c r="N1018" s="1696"/>
      <c r="O1018" s="1696"/>
      <c r="P1018" s="1696"/>
      <c r="Q1018" s="1696"/>
      <c r="R1018" s="1696"/>
      <c r="S1018" s="1696"/>
      <c r="T1018" s="1696"/>
      <c r="U1018" s="1696"/>
      <c r="V1018" s="1696"/>
      <c r="W1018" s="1696"/>
      <c r="X1018" s="1696"/>
      <c r="Y1018" s="1696"/>
      <c r="Z1018" s="1696"/>
      <c r="AA1018" s="1696"/>
      <c r="AB1018" s="1696"/>
      <c r="AC1018" s="1696"/>
      <c r="AD1018" s="1696"/>
      <c r="AE1018" s="1697"/>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3"/>
        <v>0</v>
      </c>
      <c r="AZ1018" s="1255">
        <v>0.04</v>
      </c>
    </row>
    <row r="1019" spans="1:52" ht="12.9"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3"/>
        <v>0</v>
      </c>
      <c r="AZ1019" s="1255">
        <v>0.01</v>
      </c>
    </row>
    <row r="1020" spans="1:52" ht="12.9" customHeight="1">
      <c r="A1020" s="14"/>
      <c r="B1020" s="79"/>
      <c r="C1020" s="80" t="s">
        <v>223</v>
      </c>
      <c r="D1020" s="1812" t="s">
        <v>1293</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670</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3"/>
        <v>0</v>
      </c>
      <c r="AZ1020" s="1255">
        <v>0.01</v>
      </c>
    </row>
    <row r="1021" spans="1:52" ht="12.9"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3"/>
        <v>0</v>
      </c>
      <c r="AZ1021" s="1255">
        <v>0.01</v>
      </c>
    </row>
    <row r="1022" spans="1:52" ht="12.9" customHeight="1">
      <c r="A1022" s="14"/>
      <c r="B1022" s="81"/>
      <c r="C1022" s="84"/>
      <c r="D1022" s="1695" t="s">
        <v>1294</v>
      </c>
      <c r="E1022" s="1696"/>
      <c r="F1022" s="1696"/>
      <c r="G1022" s="1696"/>
      <c r="H1022" s="1696"/>
      <c r="I1022" s="1696"/>
      <c r="J1022" s="1696"/>
      <c r="K1022" s="1696"/>
      <c r="L1022" s="1696"/>
      <c r="M1022" s="1696"/>
      <c r="N1022" s="1696"/>
      <c r="O1022" s="1696"/>
      <c r="P1022" s="1696"/>
      <c r="Q1022" s="1696"/>
      <c r="R1022" s="1696"/>
      <c r="S1022" s="1696"/>
      <c r="T1022" s="1696"/>
      <c r="U1022" s="1696"/>
      <c r="V1022" s="1696"/>
      <c r="W1022" s="1696"/>
      <c r="X1022" s="1696"/>
      <c r="Y1022" s="1696"/>
      <c r="Z1022" s="1696"/>
      <c r="AA1022" s="1696"/>
      <c r="AB1022" s="1696"/>
      <c r="AC1022" s="1696"/>
      <c r="AD1022" s="1696"/>
      <c r="AE1022" s="1697"/>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3"/>
        <v>0</v>
      </c>
      <c r="AZ1022" s="1255">
        <v>0.02</v>
      </c>
    </row>
    <row r="1023" spans="1:52" ht="12.9" customHeight="1">
      <c r="A1023" s="14"/>
      <c r="B1023" s="81"/>
      <c r="C1023" s="84"/>
      <c r="D1023" s="1695"/>
      <c r="E1023" s="1696"/>
      <c r="F1023" s="1696"/>
      <c r="G1023" s="1696"/>
      <c r="H1023" s="1696"/>
      <c r="I1023" s="1696"/>
      <c r="J1023" s="1696"/>
      <c r="K1023" s="1696"/>
      <c r="L1023" s="1696"/>
      <c r="M1023" s="1696"/>
      <c r="N1023" s="1696"/>
      <c r="O1023" s="1696"/>
      <c r="P1023" s="1696"/>
      <c r="Q1023" s="1696"/>
      <c r="R1023" s="1696"/>
      <c r="S1023" s="1696"/>
      <c r="T1023" s="1696"/>
      <c r="U1023" s="1696"/>
      <c r="V1023" s="1696"/>
      <c r="W1023" s="1696"/>
      <c r="X1023" s="1696"/>
      <c r="Y1023" s="1696"/>
      <c r="Z1023" s="1696"/>
      <c r="AA1023" s="1696"/>
      <c r="AB1023" s="1696"/>
      <c r="AC1023" s="1696"/>
      <c r="AD1023" s="1696"/>
      <c r="AE1023" s="1697"/>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3"/>
        <v>0</v>
      </c>
      <c r="AZ1023" s="1255">
        <v>0.02</v>
      </c>
    </row>
    <row r="1024" spans="1:52" ht="12.9" customHeight="1">
      <c r="A1024" s="14"/>
      <c r="B1024" s="81"/>
      <c r="C1024" s="84"/>
      <c r="D1024" s="526" t="s">
        <v>359</v>
      </c>
      <c r="E1024" s="90"/>
      <c r="F1024" s="90"/>
      <c r="G1024" s="104"/>
      <c r="H1024" s="104"/>
      <c r="I1024" s="49"/>
      <c r="J1024" s="1821" t="s">
        <v>592</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2608</v>
      </c>
      <c r="AY1024" s="201">
        <f>IF(SUM(AY1015:AY1023)&lt;=0.2,SUM(AY1015:AY1023),0.2)</f>
        <v>0</v>
      </c>
    </row>
    <row r="1025" spans="1:57" ht="12.9" customHeight="1">
      <c r="A1025" s="14"/>
      <c r="B1025" s="79"/>
      <c r="C1025" s="80" t="s">
        <v>229</v>
      </c>
      <c r="D1025" s="1764" t="s">
        <v>1295</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546</v>
      </c>
      <c r="AH1025" s="1751"/>
      <c r="AI1025" s="87"/>
      <c r="AJ1025" s="1724">
        <f>ROUND(IF(AG1025="Yes",AF1027,0),0)</f>
        <v>1226325</v>
      </c>
      <c r="AK1025" s="1725"/>
      <c r="AL1025" s="1725"/>
      <c r="AM1025" s="1725"/>
      <c r="AN1025" s="1725"/>
      <c r="AO1025" s="1725"/>
      <c r="AP1025" s="1725"/>
      <c r="AQ1025" s="1726"/>
      <c r="AR1025" s="68"/>
      <c r="AS1025" s="68"/>
      <c r="AT1025" s="68"/>
      <c r="AU1025" s="68"/>
      <c r="AV1025" s="68"/>
      <c r="AW1025" s="68"/>
      <c r="AX1025" s="68"/>
      <c r="AY1025" s="68"/>
    </row>
    <row r="1026" spans="1:57" ht="12.9" customHeight="1">
      <c r="A1026" s="14"/>
      <c r="B1026" s="73"/>
      <c r="C1026" s="74"/>
      <c r="D1026" s="1695" t="s">
        <v>1691</v>
      </c>
      <c r="E1026" s="1696"/>
      <c r="F1026" s="1696"/>
      <c r="G1026" s="1696"/>
      <c r="H1026" s="1696"/>
      <c r="I1026" s="1696"/>
      <c r="J1026" s="1696"/>
      <c r="K1026" s="1696"/>
      <c r="L1026" s="1696"/>
      <c r="M1026" s="1696"/>
      <c r="N1026" s="1696"/>
      <c r="O1026" s="1696"/>
      <c r="P1026" s="1696"/>
      <c r="Q1026" s="1696"/>
      <c r="R1026" s="1696"/>
      <c r="S1026" s="1696"/>
      <c r="T1026" s="1696"/>
      <c r="U1026" s="1696"/>
      <c r="V1026" s="1696"/>
      <c r="W1026" s="1696"/>
      <c r="X1026" s="1696"/>
      <c r="Y1026" s="1696"/>
      <c r="Z1026" s="1696"/>
      <c r="AA1026" s="1696"/>
      <c r="AB1026" s="1696"/>
      <c r="AC1026" s="1696"/>
      <c r="AD1026" s="1696"/>
      <c r="AE1026" s="1697"/>
      <c r="AF1026" s="1818" t="str">
        <f>IF(AG1025="yes","Enter Amount:","")</f>
        <v>Enter Amount:</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2.9" customHeight="1">
      <c r="A1027" s="14"/>
      <c r="B1027" s="73"/>
      <c r="C1027" s="74"/>
      <c r="D1027" s="1695"/>
      <c r="E1027" s="1696"/>
      <c r="F1027" s="1696"/>
      <c r="G1027" s="1696"/>
      <c r="H1027" s="1696"/>
      <c r="I1027" s="1696"/>
      <c r="J1027" s="1696"/>
      <c r="K1027" s="1696"/>
      <c r="L1027" s="1696"/>
      <c r="M1027" s="1696"/>
      <c r="N1027" s="1696"/>
      <c r="O1027" s="1696"/>
      <c r="P1027" s="1696"/>
      <c r="Q1027" s="1696"/>
      <c r="R1027" s="1696"/>
      <c r="S1027" s="1696"/>
      <c r="T1027" s="1696"/>
      <c r="U1027" s="1696"/>
      <c r="V1027" s="1696"/>
      <c r="W1027" s="1696"/>
      <c r="X1027" s="1696"/>
      <c r="Y1027" s="1696"/>
      <c r="Z1027" s="1696"/>
      <c r="AA1027" s="1696"/>
      <c r="AB1027" s="1696"/>
      <c r="AC1027" s="1696"/>
      <c r="AD1027" s="1696"/>
      <c r="AE1027" s="1697"/>
      <c r="AF1027" s="1773">
        <v>1226325</v>
      </c>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2.9" customHeight="1">
      <c r="A1029" s="14"/>
      <c r="B1029" s="79"/>
      <c r="C1029" s="80" t="s">
        <v>234</v>
      </c>
      <c r="D1029" s="1733" t="s">
        <v>1296</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546</v>
      </c>
      <c r="AH1029" s="1751"/>
      <c r="AI1029" s="87"/>
      <c r="AJ1029" s="1724">
        <f>ROUND(IF(AG1029="yes",(AJ992*0.1),0),0)</f>
        <v>2795523</v>
      </c>
      <c r="AK1029" s="1725"/>
      <c r="AL1029" s="1725"/>
      <c r="AM1029" s="1725"/>
      <c r="AN1029" s="1725"/>
      <c r="AO1029" s="1725"/>
      <c r="AP1029" s="1725"/>
      <c r="AQ1029" s="1726"/>
      <c r="AR1029" s="68"/>
      <c r="AS1029" s="68"/>
      <c r="AT1029" s="68"/>
      <c r="AU1029" s="68"/>
      <c r="AV1029" s="68"/>
      <c r="AW1029" s="68"/>
      <c r="AX1029" s="68"/>
      <c r="AY1029" s="68"/>
    </row>
    <row r="1030" spans="1:57" ht="12.9" customHeight="1">
      <c r="A1030" s="14"/>
      <c r="B1030" s="73"/>
      <c r="C1030" s="74"/>
      <c r="D1030" s="1695" t="s">
        <v>1297</v>
      </c>
      <c r="E1030" s="1696"/>
      <c r="F1030" s="1696"/>
      <c r="G1030" s="1696"/>
      <c r="H1030" s="1696"/>
      <c r="I1030" s="1696"/>
      <c r="J1030" s="1696"/>
      <c r="K1030" s="1696"/>
      <c r="L1030" s="1696"/>
      <c r="M1030" s="1696"/>
      <c r="N1030" s="1696"/>
      <c r="O1030" s="1696"/>
      <c r="P1030" s="1696"/>
      <c r="Q1030" s="1696"/>
      <c r="R1030" s="1696"/>
      <c r="S1030" s="1696"/>
      <c r="T1030" s="1696"/>
      <c r="U1030" s="1696"/>
      <c r="V1030" s="1696"/>
      <c r="W1030" s="1696"/>
      <c r="X1030" s="1696"/>
      <c r="Y1030" s="1696"/>
      <c r="Z1030" s="1696"/>
      <c r="AA1030" s="1696"/>
      <c r="AB1030" s="1696"/>
      <c r="AC1030" s="1696"/>
      <c r="AD1030" s="1696"/>
      <c r="AE1030" s="1697"/>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2.9"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2.9" customHeight="1">
      <c r="A1032" s="14"/>
      <c r="B1032" s="73"/>
      <c r="C1032" s="339" t="s">
        <v>688</v>
      </c>
      <c r="D1032" s="1764" t="s">
        <v>1687</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670</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2.9" customHeight="1">
      <c r="A1033" s="14"/>
      <c r="B1033" s="73"/>
      <c r="C1033" s="74"/>
      <c r="D1033" s="1801"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2.9" customHeight="1">
      <c r="A1034" s="14"/>
      <c r="B1034" s="73"/>
      <c r="C1034" s="74"/>
      <c r="D1034" s="1801"/>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2.9"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2.9" customHeight="1">
      <c r="A1036" s="14"/>
      <c r="B1036" s="73"/>
      <c r="C1036" s="339" t="s">
        <v>688</v>
      </c>
      <c r="D1036" s="1733" t="s">
        <v>1689</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546</v>
      </c>
      <c r="AH1036" s="1753"/>
      <c r="AI1036" s="83"/>
      <c r="AJ1036" s="1724">
        <f>ROUND(IF(AND(AG1036="yes",AJ1032=0),(AJ992*0.1),0),0)</f>
        <v>2795523</v>
      </c>
      <c r="AK1036" s="1725"/>
      <c r="AL1036" s="1725"/>
      <c r="AM1036" s="1725"/>
      <c r="AN1036" s="1725"/>
      <c r="AO1036" s="1725"/>
      <c r="AP1036" s="1725"/>
      <c r="AQ1036" s="1726"/>
      <c r="AR1036" s="68"/>
      <c r="AS1036" s="68"/>
      <c r="AT1036" s="68"/>
      <c r="AU1036" s="68"/>
      <c r="AV1036" s="68"/>
      <c r="AW1036" s="68"/>
      <c r="AX1036" s="68"/>
      <c r="AY1036" s="68"/>
    </row>
    <row r="1037" spans="1:57" ht="12.9" customHeight="1">
      <c r="A1037" s="14"/>
      <c r="B1037" s="73"/>
      <c r="C1037" s="74"/>
      <c r="D1037" s="1801"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2.9" customHeight="1">
      <c r="A1038" s="14"/>
      <c r="B1038" s="73"/>
      <c r="C1038" s="74"/>
      <c r="D1038" s="1801"/>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 customHeight="1">
      <c r="A1039" s="14"/>
      <c r="B1039" s="73"/>
      <c r="C1039" s="74"/>
      <c r="D1039" s="1801"/>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0.83673469387755106</v>
      </c>
      <c r="BB1039" s="3" t="s">
        <v>2495</v>
      </c>
    </row>
    <row r="1040" spans="1:57" ht="12.9"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0</v>
      </c>
      <c r="BB1040" s="3" t="s">
        <v>2492</v>
      </c>
    </row>
    <row r="1041" spans="1:56" ht="12.9" customHeight="1">
      <c r="A1041" s="14"/>
      <c r="B1041" s="79"/>
      <c r="C1041" s="131" t="s">
        <v>1011</v>
      </c>
      <c r="D1041" s="1764" t="s">
        <v>1298</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670</v>
      </c>
      <c r="AH1041" s="1751"/>
      <c r="AI1041" s="87"/>
      <c r="AJ1041" s="1724">
        <f>ROUND(IF(AG1041="yes",(AJ992*0.1),0),0)</f>
        <v>0</v>
      </c>
      <c r="AK1041" s="1725"/>
      <c r="AL1041" s="1725"/>
      <c r="AM1041" s="1725"/>
      <c r="AN1041" s="1725"/>
      <c r="AO1041" s="1725"/>
      <c r="AP1041" s="1725"/>
      <c r="AQ1041" s="1726"/>
      <c r="AR1041" s="68"/>
      <c r="AS1041" s="68"/>
      <c r="AT1041" s="68"/>
      <c r="AU1041" s="68"/>
      <c r="AV1041" s="68"/>
      <c r="AW1041" s="68"/>
      <c r="AX1041" s="68"/>
      <c r="AY1041" s="68"/>
      <c r="BA1041">
        <f>Q212</f>
        <v>0</v>
      </c>
      <c r="BB1041" s="3" t="s">
        <v>2493</v>
      </c>
    </row>
    <row r="1042" spans="1:56" ht="12.9" customHeight="1">
      <c r="A1042" s="14"/>
      <c r="B1042" s="73"/>
      <c r="C1042" s="74"/>
      <c r="D1042" s="1695" t="s">
        <v>2146</v>
      </c>
      <c r="E1042" s="1696"/>
      <c r="F1042" s="1696"/>
      <c r="G1042" s="1696"/>
      <c r="H1042" s="1696"/>
      <c r="I1042" s="1696"/>
      <c r="J1042" s="1696"/>
      <c r="K1042" s="1696"/>
      <c r="L1042" s="1696"/>
      <c r="M1042" s="1696"/>
      <c r="N1042" s="1696"/>
      <c r="O1042" s="1696"/>
      <c r="P1042" s="1696"/>
      <c r="Q1042" s="1696"/>
      <c r="R1042" s="1696"/>
      <c r="S1042" s="1696"/>
      <c r="T1042" s="1696"/>
      <c r="U1042" s="1696"/>
      <c r="V1042" s="1696"/>
      <c r="W1042" s="1696"/>
      <c r="X1042" s="1696"/>
      <c r="Y1042" s="1696"/>
      <c r="Z1042" s="1696"/>
      <c r="AA1042" s="1696"/>
      <c r="AB1042" s="1696"/>
      <c r="AC1042" s="1696"/>
      <c r="AD1042" s="1696"/>
      <c r="AE1042" s="1697"/>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2494</v>
      </c>
    </row>
    <row r="1043" spans="1:56" ht="12.9" customHeight="1">
      <c r="A1043" s="14"/>
      <c r="B1043" s="73"/>
      <c r="C1043" s="74"/>
      <c r="D1043" s="1695"/>
      <c r="E1043" s="1696"/>
      <c r="F1043" s="1696"/>
      <c r="G1043" s="1696"/>
      <c r="H1043" s="1696"/>
      <c r="I1043" s="1696"/>
      <c r="J1043" s="1696"/>
      <c r="K1043" s="1696"/>
      <c r="L1043" s="1696"/>
      <c r="M1043" s="1696"/>
      <c r="N1043" s="1696"/>
      <c r="O1043" s="1696"/>
      <c r="P1043" s="1696"/>
      <c r="Q1043" s="1696"/>
      <c r="R1043" s="1696"/>
      <c r="S1043" s="1696"/>
      <c r="T1043" s="1696"/>
      <c r="U1043" s="1696"/>
      <c r="V1043" s="1696"/>
      <c r="W1043" s="1696"/>
      <c r="X1043" s="1696"/>
      <c r="Y1043" s="1696"/>
      <c r="Z1043" s="1696"/>
      <c r="AA1043" s="1696"/>
      <c r="AB1043" s="1696"/>
      <c r="AC1043" s="1696"/>
      <c r="AD1043" s="1696"/>
      <c r="AE1043" s="1697"/>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2.9"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2.9" customHeight="1">
      <c r="A1045" s="14"/>
      <c r="B1045" s="79"/>
      <c r="C1045" s="131" t="s">
        <v>1685</v>
      </c>
      <c r="D1045" s="1733" t="s">
        <v>1866</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Yes</v>
      </c>
      <c r="AH1045" s="1749"/>
      <c r="AI1045" s="87"/>
      <c r="AJ1045" s="1724">
        <f>IF((X1048=0),0,AY1005*AJ992)</f>
        <v>15934478.819999998</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552849</v>
      </c>
      <c r="BA1045" s="3" t="s">
        <v>2480</v>
      </c>
      <c r="BB1045" s="3"/>
      <c r="BC1045" s="3"/>
      <c r="BD1045" s="3"/>
    </row>
    <row r="1046" spans="1:56" ht="12.9" customHeight="1">
      <c r="A1046" s="14"/>
      <c r="B1046" s="73"/>
      <c r="C1046" s="442"/>
      <c r="D1046" s="1695" t="s">
        <v>1300</v>
      </c>
      <c r="E1046" s="1696"/>
      <c r="F1046" s="1696"/>
      <c r="G1046" s="1696"/>
      <c r="H1046" s="1696"/>
      <c r="I1046" s="1696"/>
      <c r="J1046" s="1696"/>
      <c r="K1046" s="1696"/>
      <c r="L1046" s="1696"/>
      <c r="M1046" s="1696"/>
      <c r="N1046" s="1696"/>
      <c r="O1046" s="1696"/>
      <c r="P1046" s="1696"/>
      <c r="Q1046" s="1696"/>
      <c r="R1046" s="1696"/>
      <c r="S1046" s="1696"/>
      <c r="T1046" s="1696"/>
      <c r="U1046" s="1696"/>
      <c r="V1046" s="1696"/>
      <c r="W1046" s="1696"/>
      <c r="X1046" s="1696"/>
      <c r="Y1046" s="1696"/>
      <c r="Z1046" s="1696"/>
      <c r="AA1046" s="1696"/>
      <c r="AB1046" s="1696"/>
      <c r="AC1046" s="1696"/>
      <c r="AD1046" s="1696"/>
      <c r="AE1046" s="1697"/>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5387391.75</v>
      </c>
      <c r="BA1046" s="1182">
        <f>IF(BA1040,20%,15%)</f>
        <v>0.15</v>
      </c>
      <c r="BB1046" s="3" t="s">
        <v>2481</v>
      </c>
      <c r="BC1046" s="3" t="s">
        <v>2482</v>
      </c>
      <c r="BD1046" s="3"/>
    </row>
    <row r="1047" spans="1:56" ht="12.9" customHeight="1">
      <c r="A1047" s="14"/>
      <c r="B1047" s="73"/>
      <c r="C1047" s="442"/>
      <c r="D1047" s="1695"/>
      <c r="E1047" s="1696"/>
      <c r="F1047" s="1696"/>
      <c r="G1047" s="1696"/>
      <c r="H1047" s="1696"/>
      <c r="I1047" s="1696"/>
      <c r="J1047" s="1696"/>
      <c r="K1047" s="1696"/>
      <c r="L1047" s="1696"/>
      <c r="M1047" s="1696"/>
      <c r="N1047" s="1696"/>
      <c r="O1047" s="1696"/>
      <c r="P1047" s="1696"/>
      <c r="Q1047" s="1696"/>
      <c r="R1047" s="1696"/>
      <c r="S1047" s="1696"/>
      <c r="T1047" s="1696"/>
      <c r="U1047" s="1696"/>
      <c r="V1047" s="1696"/>
      <c r="W1047" s="1696"/>
      <c r="X1047" s="1696"/>
      <c r="Y1047" s="1696"/>
      <c r="Z1047" s="1696"/>
      <c r="AA1047" s="1696"/>
      <c r="AB1047" s="1696"/>
      <c r="AC1047" s="1696"/>
      <c r="AD1047" s="1696"/>
      <c r="AE1047" s="1697"/>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 customHeight="1">
      <c r="A1048" s="14"/>
      <c r="B1048" s="77"/>
      <c r="C1048" s="78"/>
      <c r="D1048" s="132" t="s">
        <v>973</v>
      </c>
      <c r="E1048" s="133"/>
      <c r="F1048" s="133"/>
      <c r="G1048" s="133"/>
      <c r="H1048" s="133"/>
      <c r="I1048" s="1787">
        <f>AY1003</f>
        <v>49</v>
      </c>
      <c r="J1048" s="1788"/>
      <c r="K1048" s="7"/>
      <c r="L1048" s="133"/>
      <c r="M1048" s="133"/>
      <c r="N1048" s="133"/>
      <c r="O1048" s="133"/>
      <c r="P1048" s="133"/>
      <c r="Q1048" s="133"/>
      <c r="R1048" s="133"/>
      <c r="S1048" s="133"/>
      <c r="T1048" s="133"/>
      <c r="U1048" s="133"/>
      <c r="V1048" s="134" t="s">
        <v>974</v>
      </c>
      <c r="W1048" s="48"/>
      <c r="X1048" s="1785">
        <f>CI753</f>
        <v>28</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 customHeight="1">
      <c r="A1049" s="14"/>
      <c r="B1049" s="79"/>
      <c r="C1049" s="131" t="s">
        <v>1686</v>
      </c>
      <c r="D1049" s="1764" t="s">
        <v>2172</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14536717.520000001</v>
      </c>
      <c r="AK1049" s="1725"/>
      <c r="AL1049" s="1725"/>
      <c r="AM1049" s="1725"/>
      <c r="AN1049" s="1725"/>
      <c r="AO1049" s="1725"/>
      <c r="AP1049" s="1725"/>
      <c r="AQ1049" s="1726"/>
      <c r="AR1049" s="68"/>
      <c r="AS1049" s="68"/>
      <c r="AT1049" s="68"/>
      <c r="AU1049" s="14"/>
      <c r="AV1049" s="68"/>
      <c r="AW1049" s="68"/>
      <c r="AX1049" s="68"/>
      <c r="AY1049" s="68"/>
      <c r="AZ1049" s="962">
        <f>AZ1045*BA1049</f>
        <v>82927.349999999991</v>
      </c>
      <c r="BA1049" s="1182">
        <v>0.15</v>
      </c>
      <c r="BB1049" s="3" t="s">
        <v>2481</v>
      </c>
      <c r="BC1049" s="3" t="s">
        <v>2485</v>
      </c>
      <c r="BD1049" s="3"/>
    </row>
    <row r="1050" spans="1:56" ht="12.9" customHeight="1">
      <c r="A1050" s="14"/>
      <c r="B1050" s="73"/>
      <c r="C1050" s="442"/>
      <c r="D1050" s="1695" t="s">
        <v>1299</v>
      </c>
      <c r="E1050" s="1696"/>
      <c r="F1050" s="1696"/>
      <c r="G1050" s="1696"/>
      <c r="H1050" s="1696"/>
      <c r="I1050" s="1696"/>
      <c r="J1050" s="1696"/>
      <c r="K1050" s="1696"/>
      <c r="L1050" s="1696"/>
      <c r="M1050" s="1696"/>
      <c r="N1050" s="1696"/>
      <c r="O1050" s="1696"/>
      <c r="P1050" s="1696"/>
      <c r="Q1050" s="1696"/>
      <c r="R1050" s="1696"/>
      <c r="S1050" s="1696"/>
      <c r="T1050" s="1696"/>
      <c r="U1050" s="1696"/>
      <c r="V1050" s="1696"/>
      <c r="W1050" s="1696"/>
      <c r="X1050" s="1696"/>
      <c r="Y1050" s="1696"/>
      <c r="Z1050" s="1696"/>
      <c r="AA1050" s="1696"/>
      <c r="AB1050" s="1696"/>
      <c r="AC1050" s="1696"/>
      <c r="AD1050" s="1696"/>
      <c r="AE1050" s="1697"/>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2.9" customHeight="1">
      <c r="A1051" s="14"/>
      <c r="B1051" s="73"/>
      <c r="C1051" s="83"/>
      <c r="D1051" s="1695"/>
      <c r="E1051" s="1696"/>
      <c r="F1051" s="1696"/>
      <c r="G1051" s="1696"/>
      <c r="H1051" s="1696"/>
      <c r="I1051" s="1696"/>
      <c r="J1051" s="1696"/>
      <c r="K1051" s="1696"/>
      <c r="L1051" s="1696"/>
      <c r="M1051" s="1696"/>
      <c r="N1051" s="1696"/>
      <c r="O1051" s="1696"/>
      <c r="P1051" s="1696"/>
      <c r="Q1051" s="1696"/>
      <c r="R1051" s="1696"/>
      <c r="S1051" s="1696"/>
      <c r="T1051" s="1696"/>
      <c r="U1051" s="1696"/>
      <c r="V1051" s="1696"/>
      <c r="W1051" s="1696"/>
      <c r="X1051" s="1696"/>
      <c r="Y1051" s="1696"/>
      <c r="Z1051" s="1696"/>
      <c r="AA1051" s="1696"/>
      <c r="AB1051" s="1696"/>
      <c r="AC1051" s="1696"/>
      <c r="AD1051" s="1696"/>
      <c r="AE1051" s="1697"/>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 customHeight="1">
      <c r="A1052" s="14"/>
      <c r="B1052" s="77"/>
      <c r="C1052" s="78"/>
      <c r="D1052" s="132" t="s">
        <v>973</v>
      </c>
      <c r="E1052" s="133"/>
      <c r="F1052" s="133"/>
      <c r="G1052" s="133"/>
      <c r="H1052" s="133"/>
      <c r="I1052" s="1787">
        <f>AY1003</f>
        <v>49</v>
      </c>
      <c r="J1052" s="1788"/>
      <c r="K1052" s="14"/>
      <c r="L1052" s="133"/>
      <c r="M1052" s="133"/>
      <c r="N1052" s="133"/>
      <c r="O1052" s="133"/>
      <c r="P1052" s="133"/>
      <c r="Q1052" s="133"/>
      <c r="R1052" s="133"/>
      <c r="S1052" s="133"/>
      <c r="T1052" s="133"/>
      <c r="U1052" s="133"/>
      <c r="V1052" s="134" t="s">
        <v>975</v>
      </c>
      <c r="X1052" s="1785">
        <f>CM753</f>
        <v>13</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 customHeight="1">
      <c r="A1053" s="14"/>
      <c r="B1053" s="102"/>
      <c r="C1053" s="103"/>
      <c r="D1053" s="1783" t="s">
        <v>514</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70834838.340000004</v>
      </c>
      <c r="AK1053" s="1799"/>
      <c r="AL1053" s="1799"/>
      <c r="AM1053" s="1799"/>
      <c r="AN1053" s="1799"/>
      <c r="AO1053" s="1799"/>
      <c r="AP1053" s="1799"/>
      <c r="AQ1053" s="1800"/>
      <c r="AR1053" s="68"/>
      <c r="AS1053" s="68"/>
      <c r="AT1053" s="68"/>
      <c r="AU1053" s="68"/>
      <c r="AV1053" s="68"/>
      <c r="AW1053" s="68"/>
      <c r="AX1053" s="68"/>
      <c r="AY1053" s="68"/>
      <c r="AZ1053" s="1181">
        <v>6000000</v>
      </c>
      <c r="BA1053" s="3" t="s">
        <v>2488</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41303337</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5470319.0999999996</v>
      </c>
      <c r="BB1056" s="3" t="s">
        <v>2490</v>
      </c>
      <c r="BC1056" s="3"/>
      <c r="BD1056" s="3"/>
    </row>
    <row r="1057" spans="1:54" ht="12.9"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0.95174625223363141</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5387392</v>
      </c>
      <c r="BB1058" s="3" t="s">
        <v>2496</v>
      </c>
    </row>
    <row r="1059" spans="1:54" ht="12.9"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2887392</v>
      </c>
      <c r="BB1059" s="3" t="s">
        <v>2497</v>
      </c>
    </row>
    <row r="1060" spans="1:54" ht="12.9"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 customHeight="1">
      <c r="A1061" s="1836" t="s">
        <v>795</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415" t="s">
        <v>546</v>
      </c>
      <c r="B1065" s="1415"/>
      <c r="C1065" s="1855">
        <v>1</v>
      </c>
      <c r="D1065" s="1855"/>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415" t="s">
        <v>592</v>
      </c>
      <c r="B1067" s="1415"/>
      <c r="C1067" s="1855">
        <v>2</v>
      </c>
      <c r="D1067" s="1855"/>
      <c r="E1067" s="1857" t="s">
        <v>2240</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2.9"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2.9"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415" t="s">
        <v>592</v>
      </c>
      <c r="B1097" s="1415"/>
      <c r="C1097" s="1855">
        <v>9</v>
      </c>
      <c r="D1097" s="1855"/>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415" t="s">
        <v>592</v>
      </c>
      <c r="B1100" s="1415"/>
      <c r="C1100" s="1855">
        <v>10</v>
      </c>
      <c r="D1100" s="1855"/>
      <c r="E1100" s="1856" t="s">
        <v>2241</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2.9"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415" t="s">
        <v>592</v>
      </c>
      <c r="B1103" s="1415"/>
      <c r="C1103" s="1855">
        <v>11</v>
      </c>
      <c r="D1103" s="1855"/>
      <c r="E1103" s="1856" t="s">
        <v>2243</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2.9"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4" workbookViewId="0">
      <selection activeCell="K87" sqref="K87"/>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550</v>
      </c>
      <c r="B1" s="125"/>
      <c r="C1" s="125"/>
      <c r="D1" s="125"/>
      <c r="E1" s="126"/>
      <c r="F1" s="1864" t="s">
        <v>622</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374</v>
      </c>
      <c r="D2" s="138" t="s">
        <v>373</v>
      </c>
      <c r="E2" s="138" t="s">
        <v>24</v>
      </c>
      <c r="F2" s="139" t="str">
        <f>Application!B627&amp;Application!C627</f>
        <v>1)Banc of CA Perm</v>
      </c>
      <c r="G2" s="139" t="str">
        <f>Application!B628&amp;Application!C628</f>
        <v>2)City Santa Cruz Loan</v>
      </c>
      <c r="H2" s="139" t="str">
        <f>Application!B629&amp;Application!C629</f>
        <v>3)Deferred Developer Fee</v>
      </c>
      <c r="I2" s="139" t="str">
        <f>Application!B630&amp;Application!C630</f>
        <v xml:space="preserve">4) </v>
      </c>
      <c r="J2" s="139" t="str">
        <f>Application!B631&amp;Application!C631</f>
        <v xml:space="preserve">5) </v>
      </c>
      <c r="K2" s="139" t="str">
        <f>Application!B632&amp;Application!C632</f>
        <v xml:space="preserve">6) </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1650000</v>
      </c>
      <c r="C4" s="147">
        <v>1625250</v>
      </c>
      <c r="D4" s="147">
        <v>24750</v>
      </c>
      <c r="E4" s="147">
        <v>0</v>
      </c>
      <c r="F4" s="147">
        <f>B4-G4</f>
        <v>534624</v>
      </c>
      <c r="G4" s="147">
        <v>1115376</v>
      </c>
      <c r="H4" s="147"/>
      <c r="I4" s="147"/>
      <c r="J4" s="147">
        <v>0</v>
      </c>
      <c r="K4" s="147"/>
      <c r="L4" s="147"/>
      <c r="M4" s="147"/>
      <c r="N4" s="147"/>
      <c r="O4" s="147"/>
      <c r="P4" s="147"/>
      <c r="Q4" s="147"/>
      <c r="R4" s="516">
        <f>SUM(E4:Q4)</f>
        <v>1650000</v>
      </c>
      <c r="S4" s="148"/>
      <c r="T4" s="148"/>
      <c r="U4" s="143"/>
    </row>
    <row r="5" spans="1:21" s="144" customFormat="1">
      <c r="A5" s="145" t="s">
        <v>28</v>
      </c>
      <c r="B5" s="146">
        <f>SUM(C5+D5)</f>
        <v>175000</v>
      </c>
      <c r="C5" s="147">
        <v>172375</v>
      </c>
      <c r="D5" s="147">
        <v>2625</v>
      </c>
      <c r="E5" s="147">
        <v>0</v>
      </c>
      <c r="F5" s="147">
        <v>0</v>
      </c>
      <c r="G5" s="147">
        <v>175000</v>
      </c>
      <c r="H5" s="147"/>
      <c r="I5" s="147"/>
      <c r="J5" s="147">
        <v>0</v>
      </c>
      <c r="K5" s="147"/>
      <c r="L5" s="147"/>
      <c r="M5" s="147"/>
      <c r="N5" s="147"/>
      <c r="O5" s="147"/>
      <c r="P5" s="147"/>
      <c r="Q5" s="147"/>
      <c r="R5" s="516">
        <f>SUM(E5:Q5)</f>
        <v>175000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594</v>
      </c>
      <c r="B8" s="146">
        <f>SUM(C8:D8)</f>
        <v>1825000</v>
      </c>
      <c r="C8" s="146">
        <f t="shared" ref="C8:Q8" si="0">SUM(C4:C7)</f>
        <v>1797625</v>
      </c>
      <c r="D8" s="146">
        <f t="shared" si="0"/>
        <v>27375</v>
      </c>
      <c r="E8" s="146">
        <f t="shared" si="0"/>
        <v>0</v>
      </c>
      <c r="F8" s="146">
        <f t="shared" si="0"/>
        <v>534624</v>
      </c>
      <c r="G8" s="146">
        <f t="shared" si="0"/>
        <v>1290376</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1825000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2">
      <c r="A12" s="149" t="s">
        <v>84</v>
      </c>
      <c r="B12" s="146">
        <f t="shared" ref="B12:Q12" si="2">SUM(B8+B11)</f>
        <v>1825000</v>
      </c>
      <c r="C12" s="146">
        <f t="shared" si="2"/>
        <v>1797625</v>
      </c>
      <c r="D12" s="146">
        <f t="shared" si="2"/>
        <v>27375</v>
      </c>
      <c r="E12" s="146">
        <f t="shared" si="2"/>
        <v>0</v>
      </c>
      <c r="F12" s="146">
        <f t="shared" si="2"/>
        <v>534624</v>
      </c>
      <c r="G12" s="146">
        <f t="shared" si="2"/>
        <v>1290376</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1825000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2.8">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v>0</v>
      </c>
      <c r="D17" s="147"/>
      <c r="E17" s="147"/>
      <c r="F17" s="147"/>
      <c r="G17" s="147"/>
      <c r="H17" s="147"/>
      <c r="I17" s="147">
        <v>0</v>
      </c>
      <c r="J17" s="147">
        <v>0</v>
      </c>
      <c r="K17" s="147"/>
      <c r="L17" s="147"/>
      <c r="M17" s="147"/>
      <c r="N17" s="147"/>
      <c r="O17" s="147"/>
      <c r="P17" s="147"/>
      <c r="Q17" s="147"/>
      <c r="R17" s="516">
        <f>SUM(E17:Q17)</f>
        <v>0</v>
      </c>
      <c r="S17" s="147"/>
      <c r="T17" s="147"/>
      <c r="U17" s="143"/>
    </row>
    <row r="18" spans="1:21" s="144" customFormat="1">
      <c r="A18" s="145" t="s">
        <v>600</v>
      </c>
      <c r="B18" s="146">
        <f t="shared" si="3"/>
        <v>0</v>
      </c>
      <c r="C18" s="147">
        <v>0</v>
      </c>
      <c r="D18" s="147"/>
      <c r="E18" s="147">
        <v>0</v>
      </c>
      <c r="F18" s="147">
        <v>0</v>
      </c>
      <c r="G18" s="147">
        <v>0</v>
      </c>
      <c r="H18" s="147">
        <v>0</v>
      </c>
      <c r="I18" s="147">
        <v>0</v>
      </c>
      <c r="J18" s="147"/>
      <c r="K18" s="147"/>
      <c r="L18" s="147"/>
      <c r="M18" s="147"/>
      <c r="N18" s="147"/>
      <c r="O18" s="147"/>
      <c r="P18" s="147"/>
      <c r="Q18" s="147"/>
      <c r="R18" s="516">
        <f>SUM(E18:Q18)</f>
        <v>0</v>
      </c>
      <c r="S18" s="147">
        <v>0</v>
      </c>
      <c r="T18" s="147"/>
      <c r="U18" s="143"/>
    </row>
    <row r="19" spans="1:21" s="144" customFormat="1">
      <c r="A19" s="145" t="s">
        <v>601</v>
      </c>
      <c r="B19" s="146">
        <f t="shared" si="3"/>
        <v>0</v>
      </c>
      <c r="C19" s="147">
        <v>0</v>
      </c>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v>0</v>
      </c>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v>0</v>
      </c>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675000</v>
      </c>
      <c r="C29" s="147">
        <v>664875</v>
      </c>
      <c r="D29" s="147">
        <v>10125</v>
      </c>
      <c r="E29" s="147"/>
      <c r="F29" s="147"/>
      <c r="G29" s="147">
        <v>675000</v>
      </c>
      <c r="H29" s="147"/>
      <c r="I29" s="147"/>
      <c r="J29" s="147"/>
      <c r="K29" s="147"/>
      <c r="L29" s="147"/>
      <c r="M29" s="147"/>
      <c r="N29" s="147"/>
      <c r="O29" s="147"/>
      <c r="P29" s="147"/>
      <c r="Q29" s="147"/>
      <c r="R29" s="516">
        <f t="shared" ref="R29:R37" si="7">SUM(E29:Q29)</f>
        <v>675000</v>
      </c>
      <c r="S29" s="147">
        <f>C29</f>
        <v>664875</v>
      </c>
      <c r="T29" s="147"/>
      <c r="U29" s="143"/>
    </row>
    <row r="30" spans="1:21" s="144" customFormat="1">
      <c r="A30" s="145" t="s">
        <v>600</v>
      </c>
      <c r="B30" s="146">
        <f t="shared" si="6"/>
        <v>24879862</v>
      </c>
      <c r="C30" s="147">
        <v>24506664</v>
      </c>
      <c r="D30" s="147">
        <v>373198</v>
      </c>
      <c r="E30" s="147">
        <f>B30-SUM(F30+G30)</f>
        <v>13541288</v>
      </c>
      <c r="F30" s="147">
        <v>10965376</v>
      </c>
      <c r="G30" s="147">
        <f>D30</f>
        <v>373198</v>
      </c>
      <c r="H30" s="147"/>
      <c r="I30" s="147"/>
      <c r="J30" s="147"/>
      <c r="K30" s="147"/>
      <c r="L30" s="147"/>
      <c r="M30" s="147"/>
      <c r="N30" s="147"/>
      <c r="O30" s="147"/>
      <c r="P30" s="147"/>
      <c r="Q30" s="147"/>
      <c r="R30" s="516">
        <f t="shared" si="7"/>
        <v>24879862</v>
      </c>
      <c r="S30" s="147">
        <f>C30</f>
        <v>24506664</v>
      </c>
      <c r="T30" s="147"/>
      <c r="U30" s="143"/>
    </row>
    <row r="31" spans="1:21" s="144" customFormat="1">
      <c r="A31" s="145" t="s">
        <v>601</v>
      </c>
      <c r="B31" s="146">
        <f t="shared" si="6"/>
        <v>1600000</v>
      </c>
      <c r="C31" s="147">
        <v>1576000</v>
      </c>
      <c r="D31" s="147">
        <v>24000</v>
      </c>
      <c r="E31" s="147">
        <f t="shared" ref="E31:E36" si="8">B31-SUM(F31+G31)</f>
        <v>1576000</v>
      </c>
      <c r="F31" s="147"/>
      <c r="G31" s="147">
        <f>D31</f>
        <v>24000</v>
      </c>
      <c r="H31" s="147"/>
      <c r="I31" s="147"/>
      <c r="J31" s="147"/>
      <c r="K31" s="147"/>
      <c r="L31" s="147"/>
      <c r="M31" s="147"/>
      <c r="N31" s="147"/>
      <c r="O31" s="147"/>
      <c r="P31" s="147"/>
      <c r="Q31" s="147"/>
      <c r="R31" s="516">
        <f t="shared" si="7"/>
        <v>1600000</v>
      </c>
      <c r="S31" s="147">
        <f t="shared" ref="S31:S37" si="9">C31</f>
        <v>1576000</v>
      </c>
      <c r="T31" s="147"/>
      <c r="U31" s="143"/>
    </row>
    <row r="32" spans="1:21" s="144" customFormat="1">
      <c r="A32" s="145" t="s">
        <v>137</v>
      </c>
      <c r="B32" s="146">
        <f t="shared" si="6"/>
        <v>450000</v>
      </c>
      <c r="C32" s="147">
        <v>443250</v>
      </c>
      <c r="D32" s="147">
        <v>6750</v>
      </c>
      <c r="E32" s="147">
        <f t="shared" si="8"/>
        <v>443250</v>
      </c>
      <c r="F32" s="147"/>
      <c r="G32" s="147">
        <f t="shared" ref="G32:G36" si="10">D32</f>
        <v>6750</v>
      </c>
      <c r="H32" s="147"/>
      <c r="I32" s="147"/>
      <c r="J32" s="147"/>
      <c r="K32" s="147"/>
      <c r="L32" s="147"/>
      <c r="M32" s="147"/>
      <c r="N32" s="147"/>
      <c r="O32" s="147"/>
      <c r="P32" s="147"/>
      <c r="Q32" s="147"/>
      <c r="R32" s="516">
        <f t="shared" si="7"/>
        <v>450000</v>
      </c>
      <c r="S32" s="147">
        <f t="shared" si="9"/>
        <v>443250</v>
      </c>
      <c r="T32" s="147"/>
      <c r="U32" s="143"/>
    </row>
    <row r="33" spans="1:21" s="144" customFormat="1">
      <c r="A33" s="145" t="s">
        <v>138</v>
      </c>
      <c r="B33" s="146">
        <f t="shared" si="6"/>
        <v>1403035</v>
      </c>
      <c r="C33" s="147">
        <v>1381989</v>
      </c>
      <c r="D33" s="147">
        <v>21046</v>
      </c>
      <c r="E33" s="147">
        <f t="shared" si="8"/>
        <v>1381989</v>
      </c>
      <c r="F33" s="147"/>
      <c r="G33" s="147">
        <f t="shared" si="10"/>
        <v>21046</v>
      </c>
      <c r="H33" s="147"/>
      <c r="I33" s="147"/>
      <c r="J33" s="147"/>
      <c r="K33" s="147"/>
      <c r="L33" s="147"/>
      <c r="M33" s="147"/>
      <c r="N33" s="147"/>
      <c r="O33" s="147"/>
      <c r="P33" s="147"/>
      <c r="Q33" s="147"/>
      <c r="R33" s="516">
        <f t="shared" si="7"/>
        <v>1403035</v>
      </c>
      <c r="S33" s="147">
        <f t="shared" si="9"/>
        <v>1381989</v>
      </c>
      <c r="T33" s="147"/>
      <c r="U33" s="143"/>
    </row>
    <row r="34" spans="1:21" s="144" customFormat="1">
      <c r="A34" s="145" t="s">
        <v>139</v>
      </c>
      <c r="B34" s="146">
        <f t="shared" si="6"/>
        <v>0</v>
      </c>
      <c r="C34" s="147"/>
      <c r="D34" s="147"/>
      <c r="E34" s="147">
        <f t="shared" si="8"/>
        <v>0</v>
      </c>
      <c r="F34" s="147"/>
      <c r="G34" s="147">
        <f t="shared" si="10"/>
        <v>0</v>
      </c>
      <c r="H34" s="147"/>
      <c r="I34" s="147"/>
      <c r="J34" s="147"/>
      <c r="K34" s="147"/>
      <c r="L34" s="147"/>
      <c r="M34" s="147"/>
      <c r="N34" s="147"/>
      <c r="O34" s="147"/>
      <c r="P34" s="147"/>
      <c r="Q34" s="147"/>
      <c r="R34" s="516">
        <f t="shared" si="7"/>
        <v>0</v>
      </c>
      <c r="S34" s="147">
        <f t="shared" si="9"/>
        <v>0</v>
      </c>
      <c r="T34" s="147"/>
      <c r="U34" s="143"/>
    </row>
    <row r="35" spans="1:21" s="144" customFormat="1">
      <c r="A35" s="145" t="s">
        <v>140</v>
      </c>
      <c r="B35" s="146">
        <f t="shared" si="6"/>
        <v>45000</v>
      </c>
      <c r="C35" s="147">
        <v>44325</v>
      </c>
      <c r="D35" s="147">
        <v>675</v>
      </c>
      <c r="E35" s="147">
        <f t="shared" si="8"/>
        <v>44325</v>
      </c>
      <c r="F35" s="147"/>
      <c r="G35" s="147">
        <f t="shared" si="10"/>
        <v>675</v>
      </c>
      <c r="H35" s="147"/>
      <c r="I35" s="147"/>
      <c r="J35" s="147"/>
      <c r="K35" s="147"/>
      <c r="L35" s="147"/>
      <c r="M35" s="147"/>
      <c r="N35" s="147"/>
      <c r="O35" s="147"/>
      <c r="P35" s="147"/>
      <c r="Q35" s="147"/>
      <c r="R35" s="516">
        <f t="shared" si="7"/>
        <v>45000</v>
      </c>
      <c r="S35" s="147">
        <f t="shared" si="9"/>
        <v>44325</v>
      </c>
      <c r="T35" s="147"/>
      <c r="U35" s="143"/>
    </row>
    <row r="36" spans="1:21" s="144" customFormat="1">
      <c r="A36" s="283" t="s">
        <v>1641</v>
      </c>
      <c r="B36" s="146">
        <f t="shared" si="6"/>
        <v>0</v>
      </c>
      <c r="C36" s="147"/>
      <c r="D36" s="147"/>
      <c r="E36" s="147">
        <f t="shared" si="8"/>
        <v>0</v>
      </c>
      <c r="F36" s="147"/>
      <c r="G36" s="147">
        <f t="shared" si="10"/>
        <v>0</v>
      </c>
      <c r="H36" s="147"/>
      <c r="I36" s="147"/>
      <c r="J36" s="147"/>
      <c r="K36" s="147"/>
      <c r="L36" s="147"/>
      <c r="M36" s="147"/>
      <c r="N36" s="147"/>
      <c r="O36" s="147"/>
      <c r="P36" s="147"/>
      <c r="Q36" s="147"/>
      <c r="R36" s="516">
        <f t="shared" si="7"/>
        <v>0</v>
      </c>
      <c r="S36" s="147">
        <f t="shared" si="9"/>
        <v>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f t="shared" si="9"/>
        <v>0</v>
      </c>
      <c r="T37" s="147"/>
      <c r="U37" s="143"/>
    </row>
    <row r="38" spans="1:21" s="144" customFormat="1" ht="12">
      <c r="A38" s="149" t="s">
        <v>143</v>
      </c>
      <c r="B38" s="146">
        <f t="shared" si="6"/>
        <v>29052897</v>
      </c>
      <c r="C38" s="146">
        <f>SUM(C29:C37)</f>
        <v>28617103</v>
      </c>
      <c r="D38" s="146">
        <f t="shared" ref="D38:Q38" si="11">SUM(D29:D37)</f>
        <v>435794</v>
      </c>
      <c r="E38" s="146">
        <f t="shared" si="11"/>
        <v>16986852</v>
      </c>
      <c r="F38" s="146">
        <f t="shared" si="11"/>
        <v>10965376</v>
      </c>
      <c r="G38" s="146">
        <f t="shared" si="11"/>
        <v>1100669</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42">
        <f>SUM(R29:R37)</f>
        <v>29052897</v>
      </c>
      <c r="S38" s="150">
        <f>SUM(S29:S37)</f>
        <v>28617103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540000</v>
      </c>
      <c r="C40" s="147">
        <v>531900</v>
      </c>
      <c r="D40" s="147">
        <v>8100</v>
      </c>
      <c r="E40" s="147">
        <f>C40</f>
        <v>531900</v>
      </c>
      <c r="F40" s="147"/>
      <c r="G40" s="147">
        <f>D40</f>
        <v>8100</v>
      </c>
      <c r="H40" s="147"/>
      <c r="I40" s="147"/>
      <c r="J40" s="147"/>
      <c r="K40" s="147"/>
      <c r="L40" s="147"/>
      <c r="M40" s="147"/>
      <c r="N40" s="147"/>
      <c r="O40" s="147"/>
      <c r="P40" s="147"/>
      <c r="Q40" s="147"/>
      <c r="R40" s="516">
        <f>SUM(E40:Q40)</f>
        <v>540000</v>
      </c>
      <c r="S40" s="147">
        <f>C40</f>
        <v>531900</v>
      </c>
      <c r="T40" s="147"/>
      <c r="U40" s="143"/>
    </row>
    <row r="41" spans="1:21" s="144" customFormat="1">
      <c r="A41" s="145" t="s">
        <v>146</v>
      </c>
      <c r="B41" s="146">
        <f>SUM(C41+D41)</f>
        <v>65975</v>
      </c>
      <c r="C41" s="147">
        <v>65000</v>
      </c>
      <c r="D41" s="147">
        <v>975</v>
      </c>
      <c r="E41" s="147">
        <f>C41</f>
        <v>65000</v>
      </c>
      <c r="F41" s="147"/>
      <c r="G41" s="147">
        <f>D41</f>
        <v>975</v>
      </c>
      <c r="H41" s="147"/>
      <c r="I41" s="147"/>
      <c r="J41" s="147"/>
      <c r="K41" s="147"/>
      <c r="L41" s="147"/>
      <c r="M41" s="147"/>
      <c r="N41" s="147"/>
      <c r="O41" s="147"/>
      <c r="P41" s="147"/>
      <c r="Q41" s="147"/>
      <c r="R41" s="516">
        <f>SUM(E41:Q41)</f>
        <v>65975</v>
      </c>
      <c r="S41" s="147">
        <f>C41</f>
        <v>65000</v>
      </c>
      <c r="T41" s="147"/>
      <c r="U41" s="143"/>
    </row>
    <row r="42" spans="1:21" s="144" customFormat="1" ht="12">
      <c r="A42" s="149" t="s">
        <v>147</v>
      </c>
      <c r="B42" s="146">
        <f>SUM(C42:D42)</f>
        <v>605975</v>
      </c>
      <c r="C42" s="146">
        <f>SUM(C39:C41)</f>
        <v>596900</v>
      </c>
      <c r="D42" s="146">
        <f>SUM(D39:D41)</f>
        <v>9075</v>
      </c>
      <c r="E42" s="146">
        <f t="shared" ref="E42:T42" si="12">SUM(E40:E41)</f>
        <v>596900</v>
      </c>
      <c r="F42" s="146">
        <f t="shared" si="12"/>
        <v>0</v>
      </c>
      <c r="G42" s="146">
        <f t="shared" si="12"/>
        <v>9075</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605975</v>
      </c>
      <c r="S42" s="150">
        <f t="shared" si="12"/>
        <v>596900</v>
      </c>
      <c r="T42" s="150">
        <f t="shared" si="12"/>
        <v>0</v>
      </c>
      <c r="U42" s="143"/>
    </row>
    <row r="43" spans="1:21" s="144" customFormat="1" ht="12">
      <c r="A43" s="149" t="s">
        <v>148</v>
      </c>
      <c r="B43" s="146">
        <f>SUM(C43:D43)</f>
        <v>549850</v>
      </c>
      <c r="C43" s="147">
        <v>541750</v>
      </c>
      <c r="D43" s="147">
        <v>8100</v>
      </c>
      <c r="E43" s="147">
        <f>B43</f>
        <v>549850</v>
      </c>
      <c r="F43" s="147"/>
      <c r="G43" s="147"/>
      <c r="H43" s="147"/>
      <c r="I43" s="147"/>
      <c r="J43" s="147"/>
      <c r="K43" s="147"/>
      <c r="L43" s="147"/>
      <c r="M43" s="147"/>
      <c r="N43" s="147"/>
      <c r="O43" s="147"/>
      <c r="P43" s="147"/>
      <c r="Q43" s="147"/>
      <c r="R43" s="516">
        <f>SUM(E43:Q43)</f>
        <v>549850</v>
      </c>
      <c r="S43" s="147">
        <f>C43</f>
        <v>541750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2514550</v>
      </c>
      <c r="C45" s="147">
        <v>2476832</v>
      </c>
      <c r="D45" s="147">
        <v>37718</v>
      </c>
      <c r="E45" s="147">
        <f>B45-SUM(F45+G45)</f>
        <v>2476832</v>
      </c>
      <c r="F45" s="147"/>
      <c r="G45" s="147">
        <f>D45</f>
        <v>37718</v>
      </c>
      <c r="H45" s="147"/>
      <c r="I45" s="147"/>
      <c r="J45" s="147"/>
      <c r="K45" s="147"/>
      <c r="L45" s="147"/>
      <c r="M45" s="147"/>
      <c r="N45" s="147"/>
      <c r="O45" s="147"/>
      <c r="P45" s="147"/>
      <c r="Q45" s="147"/>
      <c r="R45" s="516">
        <f t="shared" ref="R45:R53" si="14">SUM(E45:Q45)</f>
        <v>2514550</v>
      </c>
      <c r="S45" s="147">
        <f>C45-(469730+229543)</f>
        <v>1777559</v>
      </c>
      <c r="T45" s="147"/>
      <c r="U45" s="143"/>
    </row>
    <row r="46" spans="1:21" s="144" customFormat="1">
      <c r="A46" s="145" t="s">
        <v>151</v>
      </c>
      <c r="B46" s="146">
        <f t="shared" si="13"/>
        <v>215688</v>
      </c>
      <c r="C46" s="147">
        <v>212500</v>
      </c>
      <c r="D46" s="147">
        <v>3188</v>
      </c>
      <c r="E46" s="147">
        <f t="shared" ref="E46:E53" si="15">C46</f>
        <v>212500</v>
      </c>
      <c r="F46" s="147"/>
      <c r="G46" s="147">
        <f t="shared" ref="G46:G53" si="16">D46</f>
        <v>3188</v>
      </c>
      <c r="H46" s="147"/>
      <c r="I46" s="147"/>
      <c r="J46" s="147"/>
      <c r="K46" s="147"/>
      <c r="L46" s="147"/>
      <c r="M46" s="147"/>
      <c r="N46" s="147"/>
      <c r="O46" s="147"/>
      <c r="P46" s="147"/>
      <c r="Q46" s="147"/>
      <c r="R46" s="516">
        <f t="shared" si="14"/>
        <v>215688</v>
      </c>
      <c r="S46" s="147">
        <f>C46</f>
        <v>212500</v>
      </c>
      <c r="T46" s="147"/>
      <c r="U46" s="143"/>
    </row>
    <row r="47" spans="1:21" s="144" customFormat="1">
      <c r="A47" s="186" t="s">
        <v>152</v>
      </c>
      <c r="B47" s="146">
        <f t="shared" si="13"/>
        <v>25000</v>
      </c>
      <c r="C47" s="147">
        <v>24625</v>
      </c>
      <c r="D47" s="147">
        <v>375</v>
      </c>
      <c r="E47" s="147">
        <f t="shared" si="15"/>
        <v>24625</v>
      </c>
      <c r="F47" s="147"/>
      <c r="G47" s="147">
        <f t="shared" si="16"/>
        <v>375</v>
      </c>
      <c r="H47" s="147"/>
      <c r="I47" s="147"/>
      <c r="J47" s="147"/>
      <c r="K47" s="147"/>
      <c r="L47" s="147"/>
      <c r="M47" s="147"/>
      <c r="N47" s="147"/>
      <c r="O47" s="147"/>
      <c r="P47" s="147"/>
      <c r="Q47" s="147"/>
      <c r="R47" s="516">
        <f t="shared" si="14"/>
        <v>25000</v>
      </c>
      <c r="S47" s="147">
        <f t="shared" ref="S47:S52" si="17">C47</f>
        <v>24625</v>
      </c>
      <c r="T47" s="147"/>
      <c r="U47" s="143"/>
    </row>
    <row r="48" spans="1:21" s="144" customFormat="1">
      <c r="A48" s="145" t="s">
        <v>153</v>
      </c>
      <c r="B48" s="146">
        <f t="shared" si="13"/>
        <v>373000</v>
      </c>
      <c r="C48" s="147">
        <v>367405</v>
      </c>
      <c r="D48" s="147">
        <v>5595</v>
      </c>
      <c r="E48" s="147">
        <f t="shared" si="15"/>
        <v>367405</v>
      </c>
      <c r="F48" s="147"/>
      <c r="G48" s="147">
        <f t="shared" si="16"/>
        <v>5595</v>
      </c>
      <c r="H48" s="147"/>
      <c r="I48" s="147"/>
      <c r="J48" s="147"/>
      <c r="K48" s="147"/>
      <c r="L48" s="147"/>
      <c r="M48" s="147"/>
      <c r="N48" s="147"/>
      <c r="O48" s="147"/>
      <c r="P48" s="147"/>
      <c r="Q48" s="147"/>
      <c r="R48" s="516">
        <f t="shared" si="14"/>
        <v>373000</v>
      </c>
      <c r="S48" s="147">
        <f t="shared" si="17"/>
        <v>367405</v>
      </c>
      <c r="T48" s="147"/>
      <c r="U48" s="143"/>
    </row>
    <row r="49" spans="1:21" s="144" customFormat="1">
      <c r="A49" s="145" t="s">
        <v>57</v>
      </c>
      <c r="B49" s="146">
        <f t="shared" si="13"/>
        <v>95000</v>
      </c>
      <c r="C49" s="147">
        <v>95000</v>
      </c>
      <c r="D49" s="147">
        <v>0</v>
      </c>
      <c r="E49" s="147">
        <f t="shared" si="15"/>
        <v>95000</v>
      </c>
      <c r="F49" s="147"/>
      <c r="G49" s="147">
        <f t="shared" si="16"/>
        <v>0</v>
      </c>
      <c r="H49" s="147"/>
      <c r="I49" s="147"/>
      <c r="J49" s="147"/>
      <c r="K49" s="147"/>
      <c r="L49" s="147"/>
      <c r="M49" s="147"/>
      <c r="N49" s="147"/>
      <c r="O49" s="147"/>
      <c r="P49" s="147"/>
      <c r="Q49" s="147"/>
      <c r="R49" s="516">
        <f t="shared" si="14"/>
        <v>95000</v>
      </c>
      <c r="S49" s="147">
        <v>75000</v>
      </c>
      <c r="T49" s="147"/>
      <c r="U49" s="143"/>
    </row>
    <row r="50" spans="1:21" s="144" customFormat="1">
      <c r="A50" s="145" t="s">
        <v>156</v>
      </c>
      <c r="B50" s="146">
        <f t="shared" si="13"/>
        <v>55000</v>
      </c>
      <c r="C50" s="147">
        <v>54175</v>
      </c>
      <c r="D50" s="147">
        <v>825</v>
      </c>
      <c r="E50" s="147">
        <f t="shared" si="15"/>
        <v>54175</v>
      </c>
      <c r="F50" s="147"/>
      <c r="G50" s="147">
        <f t="shared" si="16"/>
        <v>825</v>
      </c>
      <c r="H50" s="147"/>
      <c r="I50" s="147"/>
      <c r="J50" s="147"/>
      <c r="K50" s="147"/>
      <c r="L50" s="147"/>
      <c r="M50" s="147"/>
      <c r="N50" s="147"/>
      <c r="O50" s="147"/>
      <c r="P50" s="147"/>
      <c r="Q50" s="147"/>
      <c r="R50" s="516">
        <f t="shared" si="14"/>
        <v>55000</v>
      </c>
      <c r="S50" s="147">
        <f t="shared" si="17"/>
        <v>54175</v>
      </c>
      <c r="T50" s="147"/>
      <c r="U50" s="143"/>
    </row>
    <row r="51" spans="1:21" s="144" customFormat="1">
      <c r="A51" s="283" t="s">
        <v>154</v>
      </c>
      <c r="B51" s="146">
        <f t="shared" si="13"/>
        <v>35000</v>
      </c>
      <c r="C51" s="147">
        <v>34475</v>
      </c>
      <c r="D51" s="147">
        <v>525</v>
      </c>
      <c r="E51" s="147">
        <f t="shared" si="15"/>
        <v>34475</v>
      </c>
      <c r="F51" s="147"/>
      <c r="G51" s="147">
        <f t="shared" si="16"/>
        <v>525</v>
      </c>
      <c r="H51" s="147"/>
      <c r="I51" s="147"/>
      <c r="J51" s="147"/>
      <c r="K51" s="147"/>
      <c r="L51" s="147"/>
      <c r="M51" s="147"/>
      <c r="N51" s="147"/>
      <c r="O51" s="147"/>
      <c r="P51" s="147"/>
      <c r="Q51" s="147"/>
      <c r="R51" s="516">
        <f t="shared" si="14"/>
        <v>35000</v>
      </c>
      <c r="S51" s="147">
        <f t="shared" si="17"/>
        <v>34475</v>
      </c>
      <c r="T51" s="147"/>
      <c r="U51" s="143"/>
    </row>
    <row r="52" spans="1:21" s="144" customFormat="1">
      <c r="A52" s="145" t="s">
        <v>155</v>
      </c>
      <c r="B52" s="146">
        <f t="shared" si="13"/>
        <v>385000</v>
      </c>
      <c r="C52" s="147">
        <v>379225</v>
      </c>
      <c r="D52" s="147">
        <v>5775</v>
      </c>
      <c r="E52" s="147">
        <f t="shared" si="15"/>
        <v>379225</v>
      </c>
      <c r="F52" s="147"/>
      <c r="G52" s="147">
        <f t="shared" si="16"/>
        <v>5775</v>
      </c>
      <c r="H52" s="147"/>
      <c r="I52" s="147"/>
      <c r="J52" s="147"/>
      <c r="K52" s="147"/>
      <c r="L52" s="147"/>
      <c r="M52" s="147"/>
      <c r="N52" s="147"/>
      <c r="O52" s="147"/>
      <c r="P52" s="147"/>
      <c r="Q52" s="147"/>
      <c r="R52" s="516">
        <f t="shared" si="14"/>
        <v>385000</v>
      </c>
      <c r="S52" s="147">
        <f t="shared" si="17"/>
        <v>379225</v>
      </c>
      <c r="T52" s="147"/>
      <c r="U52" s="143"/>
    </row>
    <row r="53" spans="1:21" s="144" customFormat="1">
      <c r="A53" s="1149" t="s">
        <v>34</v>
      </c>
      <c r="B53" s="146">
        <f t="shared" si="13"/>
        <v>0</v>
      </c>
      <c r="C53" s="147"/>
      <c r="D53" s="147"/>
      <c r="E53" s="147">
        <f t="shared" si="15"/>
        <v>0</v>
      </c>
      <c r="F53" s="147"/>
      <c r="G53" s="147">
        <f t="shared" si="16"/>
        <v>0</v>
      </c>
      <c r="H53" s="147"/>
      <c r="I53" s="147"/>
      <c r="J53" s="147"/>
      <c r="K53" s="147"/>
      <c r="L53" s="147"/>
      <c r="M53" s="147"/>
      <c r="N53" s="147"/>
      <c r="O53" s="147"/>
      <c r="P53" s="147"/>
      <c r="Q53" s="147"/>
      <c r="R53" s="516">
        <f t="shared" si="14"/>
        <v>0</v>
      </c>
      <c r="S53" s="147">
        <f t="shared" ref="S53" si="18">R53</f>
        <v>0</v>
      </c>
      <c r="T53" s="147"/>
      <c r="U53" s="143"/>
    </row>
    <row r="54" spans="1:21" s="153" customFormat="1" ht="12">
      <c r="A54" s="149" t="s">
        <v>157</v>
      </c>
      <c r="B54" s="150">
        <f>SUM(C54:D54)</f>
        <v>3698238</v>
      </c>
      <c r="C54" s="150">
        <f t="shared" ref="C54:T54" si="19">SUM(C45:C53)</f>
        <v>3644237</v>
      </c>
      <c r="D54" s="150">
        <f t="shared" si="19"/>
        <v>54001</v>
      </c>
      <c r="E54" s="150">
        <f t="shared" si="19"/>
        <v>3644237</v>
      </c>
      <c r="F54" s="150">
        <f t="shared" si="19"/>
        <v>0</v>
      </c>
      <c r="G54" s="150">
        <f t="shared" si="19"/>
        <v>54001</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3698238</v>
      </c>
      <c r="S54" s="150">
        <f t="shared" si="19"/>
        <v>2924964</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7500</v>
      </c>
      <c r="C56" s="147">
        <v>7500</v>
      </c>
      <c r="D56" s="147"/>
      <c r="E56" s="147">
        <f>C56</f>
        <v>7500</v>
      </c>
      <c r="F56" s="147"/>
      <c r="G56" s="147"/>
      <c r="H56" s="147"/>
      <c r="I56" s="147"/>
      <c r="J56" s="147"/>
      <c r="K56" s="147"/>
      <c r="L56" s="147"/>
      <c r="M56" s="147"/>
      <c r="N56" s="147"/>
      <c r="O56" s="147"/>
      <c r="P56" s="147"/>
      <c r="Q56" s="147"/>
      <c r="R56" s="516">
        <f t="shared" ref="R56:R61" si="21">SUM(E56:Q56)</f>
        <v>7500</v>
      </c>
      <c r="S56" s="148"/>
      <c r="T56" s="148"/>
      <c r="U56" s="143"/>
    </row>
    <row r="57" spans="1:21" s="192" customFormat="1">
      <c r="A57" s="186" t="s">
        <v>152</v>
      </c>
      <c r="B57" s="193">
        <f t="shared" si="20"/>
        <v>0</v>
      </c>
      <c r="C57" s="190"/>
      <c r="D57" s="190"/>
      <c r="E57" s="190"/>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20"/>
        <v>3500</v>
      </c>
      <c r="C58" s="147">
        <v>3500</v>
      </c>
      <c r="D58" s="147"/>
      <c r="E58" s="147">
        <f>C58</f>
        <v>3500</v>
      </c>
      <c r="F58" s="147"/>
      <c r="G58" s="147"/>
      <c r="H58" s="147"/>
      <c r="I58" s="147"/>
      <c r="J58" s="147"/>
      <c r="K58" s="147"/>
      <c r="L58" s="147"/>
      <c r="M58" s="147"/>
      <c r="N58" s="147"/>
      <c r="O58" s="147"/>
      <c r="P58" s="147"/>
      <c r="Q58" s="147"/>
      <c r="R58" s="516">
        <f t="shared" si="21"/>
        <v>3500</v>
      </c>
      <c r="S58" s="148"/>
      <c r="T58" s="148"/>
      <c r="U58" s="143"/>
    </row>
    <row r="59" spans="1:21" s="144" customFormat="1">
      <c r="A59" s="283" t="s">
        <v>154</v>
      </c>
      <c r="B59" s="146">
        <f t="shared" si="20"/>
        <v>0</v>
      </c>
      <c r="C59" s="147"/>
      <c r="D59" s="147"/>
      <c r="E59" s="147"/>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20"/>
        <v>0</v>
      </c>
      <c r="C60" s="147"/>
      <c r="D60" s="147"/>
      <c r="E60" s="147"/>
      <c r="F60" s="147"/>
      <c r="G60" s="147"/>
      <c r="H60" s="147"/>
      <c r="I60" s="147"/>
      <c r="J60" s="147"/>
      <c r="K60" s="147"/>
      <c r="L60" s="147"/>
      <c r="M60" s="147"/>
      <c r="N60" s="147"/>
      <c r="O60" s="147"/>
      <c r="P60" s="147"/>
      <c r="Q60" s="147"/>
      <c r="R60" s="516">
        <f t="shared" si="21"/>
        <v>0</v>
      </c>
      <c r="S60" s="148"/>
      <c r="T60" s="148"/>
      <c r="U60" s="143"/>
    </row>
    <row r="61" spans="1:21" s="144" customFormat="1">
      <c r="A61" s="1149" t="s">
        <v>34</v>
      </c>
      <c r="B61" s="146">
        <f t="shared" si="20"/>
        <v>0</v>
      </c>
      <c r="C61" s="147"/>
      <c r="D61" s="147"/>
      <c r="E61" s="147"/>
      <c r="F61" s="147"/>
      <c r="G61" s="147"/>
      <c r="H61" s="147"/>
      <c r="I61" s="147"/>
      <c r="J61" s="147"/>
      <c r="K61" s="147"/>
      <c r="L61" s="147"/>
      <c r="M61" s="147"/>
      <c r="N61" s="147"/>
      <c r="O61" s="147"/>
      <c r="P61" s="147"/>
      <c r="Q61" s="147"/>
      <c r="R61" s="516">
        <f t="shared" si="21"/>
        <v>0</v>
      </c>
      <c r="S61" s="148"/>
      <c r="T61" s="148"/>
      <c r="U61" s="143"/>
    </row>
    <row r="62" spans="1:21" s="144" customFormat="1" ht="13.65" customHeight="1">
      <c r="A62" s="149" t="s">
        <v>301</v>
      </c>
      <c r="B62" s="146">
        <f>SUM(C62:D62)</f>
        <v>11000</v>
      </c>
      <c r="C62" s="146">
        <f t="shared" ref="C62:R62" si="22">SUM(C56:C61)</f>
        <v>11000</v>
      </c>
      <c r="D62" s="146">
        <f t="shared" si="22"/>
        <v>0</v>
      </c>
      <c r="E62" s="146">
        <f t="shared" si="22"/>
        <v>11000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11000</v>
      </c>
      <c r="S62" s="148"/>
      <c r="T62" s="148"/>
      <c r="U62" s="143"/>
    </row>
    <row r="63" spans="1:21" s="144" customFormat="1">
      <c r="A63" s="154" t="s">
        <v>302</v>
      </c>
      <c r="B63" s="146">
        <f t="shared" ref="B63:R63" si="23">SUM(B8+B11+B13+B14+B15+B26+B27+B38+B42+B43+B54+B62)</f>
        <v>35742960</v>
      </c>
      <c r="C63" s="146">
        <f t="shared" si="23"/>
        <v>35208615</v>
      </c>
      <c r="D63" s="146">
        <f t="shared" si="23"/>
        <v>534345</v>
      </c>
      <c r="E63" s="146">
        <f t="shared" si="23"/>
        <v>21788839</v>
      </c>
      <c r="F63" s="146">
        <f t="shared" si="23"/>
        <v>11500000</v>
      </c>
      <c r="G63" s="146">
        <f t="shared" si="23"/>
        <v>2454121</v>
      </c>
      <c r="H63" s="146">
        <f t="shared" si="23"/>
        <v>0</v>
      </c>
      <c r="I63" s="146">
        <f t="shared" si="23"/>
        <v>0</v>
      </c>
      <c r="J63" s="146">
        <f t="shared" si="23"/>
        <v>0</v>
      </c>
      <c r="K63" s="146">
        <f t="shared" si="23"/>
        <v>0</v>
      </c>
      <c r="L63" s="146">
        <f t="shared" si="23"/>
        <v>0</v>
      </c>
      <c r="M63" s="146">
        <f t="shared" si="23"/>
        <v>0</v>
      </c>
      <c r="N63" s="146">
        <f t="shared" si="23"/>
        <v>0</v>
      </c>
      <c r="O63" s="146">
        <f t="shared" si="23"/>
        <v>0</v>
      </c>
      <c r="P63" s="146">
        <f t="shared" si="23"/>
        <v>0</v>
      </c>
      <c r="Q63" s="146">
        <f t="shared" si="23"/>
        <v>0</v>
      </c>
      <c r="R63" s="342">
        <f t="shared" si="23"/>
        <v>35742960</v>
      </c>
      <c r="S63" s="146">
        <f>SUM(S10+S13+S14+S15+S26+S27+S38+S42+S43+S54)</f>
        <v>32680717</v>
      </c>
      <c r="T63" s="146">
        <f>SUM(T11+T13+T14+T15+T26+T27+T38+T42+T43+T54)</f>
        <v>0</v>
      </c>
      <c r="U63" s="143"/>
    </row>
    <row r="64" spans="1:21" s="144" customFormat="1" ht="22.8">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f>C65</f>
        <v>75000</v>
      </c>
      <c r="F65" s="147"/>
      <c r="G65" s="147"/>
      <c r="H65" s="147"/>
      <c r="I65" s="147"/>
      <c r="J65" s="147"/>
      <c r="K65" s="147"/>
      <c r="L65" s="147"/>
      <c r="M65" s="147"/>
      <c r="N65" s="147"/>
      <c r="O65" s="147"/>
      <c r="P65" s="147"/>
      <c r="Q65" s="147"/>
      <c r="R65" s="516">
        <f>SUM(E65:Q65)</f>
        <v>75000</v>
      </c>
      <c r="S65" s="147">
        <f>R65</f>
        <v>75000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ht="12">
      <c r="A70" s="149" t="s">
        <v>1646</v>
      </c>
      <c r="B70" s="146">
        <f>SUM(C70:D70)</f>
        <v>75000</v>
      </c>
      <c r="C70" s="146">
        <f>SUM(C65:C69)</f>
        <v>75000</v>
      </c>
      <c r="D70" s="146">
        <f>SUM(D65:D69)</f>
        <v>0</v>
      </c>
      <c r="E70" s="146">
        <f t="shared" ref="E70:T70" si="24">SUM(E65:E69)</f>
        <v>75000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75000</v>
      </c>
      <c r="S70" s="150">
        <f t="shared" si="24"/>
        <v>75000</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326418</v>
      </c>
      <c r="C75" s="147">
        <v>326418</v>
      </c>
      <c r="D75" s="147"/>
      <c r="E75" s="147">
        <f>C75</f>
        <v>326418</v>
      </c>
      <c r="F75" s="147"/>
      <c r="G75" s="147"/>
      <c r="H75" s="147"/>
      <c r="I75" s="147"/>
      <c r="J75" s="147"/>
      <c r="K75" s="147"/>
      <c r="L75" s="147"/>
      <c r="M75" s="147"/>
      <c r="N75" s="147"/>
      <c r="O75" s="147"/>
      <c r="P75" s="147"/>
      <c r="Q75" s="147"/>
      <c r="R75" s="516">
        <f>SUM(E75:Q75)</f>
        <v>326418</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ht="12">
      <c r="A77" s="149" t="s">
        <v>607</v>
      </c>
      <c r="B77" s="146">
        <f>SUM(C77:D77)</f>
        <v>326418</v>
      </c>
      <c r="C77" s="146">
        <f>SUM(C72:C76)</f>
        <v>326418</v>
      </c>
      <c r="D77" s="146">
        <f>SUM(D72:D76)</f>
        <v>0</v>
      </c>
      <c r="E77" s="146">
        <f t="shared" ref="E77:Q77" si="25">SUM(E72:E76)</f>
        <v>326418</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326418</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1438607</v>
      </c>
      <c r="C79" s="147">
        <v>1417028</v>
      </c>
      <c r="D79" s="147">
        <v>21579</v>
      </c>
      <c r="E79" s="147">
        <f>C79</f>
        <v>1417028</v>
      </c>
      <c r="F79" s="147"/>
      <c r="G79" s="147">
        <f>D79</f>
        <v>21579</v>
      </c>
      <c r="H79" s="147"/>
      <c r="I79" s="147"/>
      <c r="J79" s="147"/>
      <c r="K79" s="147"/>
      <c r="L79" s="147"/>
      <c r="M79" s="147"/>
      <c r="N79" s="147"/>
      <c r="O79" s="147"/>
      <c r="P79" s="147"/>
      <c r="Q79" s="147"/>
      <c r="R79" s="516">
        <f>SUM(E79:Q79)</f>
        <v>1438607</v>
      </c>
      <c r="S79" s="147">
        <f>C79</f>
        <v>1417028</v>
      </c>
      <c r="T79" s="147"/>
      <c r="U79" s="143"/>
    </row>
    <row r="80" spans="1:21" s="144" customFormat="1">
      <c r="A80" s="283" t="s">
        <v>58</v>
      </c>
      <c r="B80" s="146">
        <f>SUM(C80:D80)</f>
        <v>150000</v>
      </c>
      <c r="C80" s="147">
        <v>147750</v>
      </c>
      <c r="D80" s="147">
        <v>2250</v>
      </c>
      <c r="E80" s="147">
        <f>C80</f>
        <v>147750</v>
      </c>
      <c r="F80" s="147"/>
      <c r="G80" s="147">
        <f>D80</f>
        <v>2250</v>
      </c>
      <c r="H80" s="147"/>
      <c r="I80" s="147"/>
      <c r="J80" s="147"/>
      <c r="K80" s="147"/>
      <c r="L80" s="147"/>
      <c r="M80" s="147"/>
      <c r="N80" s="147"/>
      <c r="O80" s="147"/>
      <c r="P80" s="147"/>
      <c r="Q80" s="147"/>
      <c r="R80" s="516">
        <f>SUM(E80:Q80)</f>
        <v>150000</v>
      </c>
      <c r="S80" s="147">
        <f>C80</f>
        <v>147750</v>
      </c>
      <c r="T80" s="147"/>
      <c r="U80" s="143"/>
    </row>
    <row r="81" spans="1:21" s="144" customFormat="1" ht="12">
      <c r="A81" s="149" t="s">
        <v>1210</v>
      </c>
      <c r="B81" s="146">
        <f>SUM(C81:D81)</f>
        <v>1588607</v>
      </c>
      <c r="C81" s="509">
        <f>SUM(C79:C80)</f>
        <v>1564778</v>
      </c>
      <c r="D81" s="509">
        <f t="shared" ref="D81:T81" si="26">SUM(D79:D80)</f>
        <v>23829</v>
      </c>
      <c r="E81" s="509">
        <f t="shared" si="26"/>
        <v>1564778</v>
      </c>
      <c r="F81" s="509">
        <f t="shared" si="26"/>
        <v>0</v>
      </c>
      <c r="G81" s="509">
        <f t="shared" si="26"/>
        <v>23829</v>
      </c>
      <c r="H81" s="509">
        <f t="shared" si="26"/>
        <v>0</v>
      </c>
      <c r="I81" s="509">
        <f t="shared" si="26"/>
        <v>0</v>
      </c>
      <c r="J81" s="509">
        <f t="shared" si="26"/>
        <v>0</v>
      </c>
      <c r="K81" s="509">
        <f t="shared" si="26"/>
        <v>0</v>
      </c>
      <c r="L81" s="509">
        <f t="shared" si="26"/>
        <v>0</v>
      </c>
      <c r="M81" s="509">
        <f t="shared" si="26"/>
        <v>0</v>
      </c>
      <c r="N81" s="509">
        <f t="shared" si="26"/>
        <v>0</v>
      </c>
      <c r="O81" s="509">
        <f t="shared" si="26"/>
        <v>0</v>
      </c>
      <c r="P81" s="509">
        <f t="shared" si="26"/>
        <v>0</v>
      </c>
      <c r="Q81" s="509">
        <f t="shared" si="26"/>
        <v>0</v>
      </c>
      <c r="R81" s="509">
        <f t="shared" si="26"/>
        <v>1588607</v>
      </c>
      <c r="S81" s="509">
        <f t="shared" si="26"/>
        <v>1564778</v>
      </c>
      <c r="T81" s="509">
        <f t="shared" si="26"/>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2096</v>
      </c>
      <c r="B83" s="146">
        <f t="shared" ref="B83:B95" si="27">SUM(C83+D83)</f>
        <v>106366</v>
      </c>
      <c r="C83" s="147">
        <v>106366</v>
      </c>
      <c r="D83" s="147"/>
      <c r="E83" s="147">
        <f>C83</f>
        <v>106366</v>
      </c>
      <c r="F83" s="147"/>
      <c r="G83" s="147"/>
      <c r="H83" s="147"/>
      <c r="I83" s="147"/>
      <c r="J83" s="147"/>
      <c r="K83" s="147"/>
      <c r="L83" s="147"/>
      <c r="M83" s="147"/>
      <c r="N83" s="147"/>
      <c r="O83" s="147"/>
      <c r="P83" s="147"/>
      <c r="Q83" s="147"/>
      <c r="R83" s="516">
        <f t="shared" ref="R83:R95" si="28">SUM(E83:Q83)</f>
        <v>106366</v>
      </c>
      <c r="S83" s="148"/>
      <c r="T83" s="148"/>
      <c r="U83" s="143"/>
    </row>
    <row r="84" spans="1:21" s="144" customFormat="1">
      <c r="A84" s="145" t="s">
        <v>768</v>
      </c>
      <c r="B84" s="146">
        <f t="shared" si="27"/>
        <v>7500</v>
      </c>
      <c r="C84" s="147">
        <v>7500</v>
      </c>
      <c r="D84" s="147"/>
      <c r="E84" s="147">
        <f t="shared" ref="E84:E93" si="29">C84</f>
        <v>7500</v>
      </c>
      <c r="F84" s="147"/>
      <c r="G84" s="147"/>
      <c r="H84" s="147"/>
      <c r="I84" s="147"/>
      <c r="J84" s="147"/>
      <c r="K84" s="147"/>
      <c r="L84" s="147"/>
      <c r="M84" s="147"/>
      <c r="N84" s="147"/>
      <c r="O84" s="147"/>
      <c r="P84" s="147"/>
      <c r="Q84" s="147"/>
      <c r="R84" s="516">
        <f t="shared" si="28"/>
        <v>7500</v>
      </c>
      <c r="S84" s="147">
        <f>R84</f>
        <v>7500</v>
      </c>
      <c r="T84" s="147"/>
      <c r="U84" s="143"/>
    </row>
    <row r="85" spans="1:21" s="144" customFormat="1">
      <c r="A85" s="145" t="s">
        <v>769</v>
      </c>
      <c r="B85" s="146">
        <f t="shared" si="27"/>
        <v>1245000</v>
      </c>
      <c r="C85" s="147">
        <v>1226325</v>
      </c>
      <c r="D85" s="147">
        <v>18675</v>
      </c>
      <c r="E85" s="147">
        <f t="shared" si="29"/>
        <v>1226325</v>
      </c>
      <c r="F85" s="147"/>
      <c r="G85" s="147">
        <f>D85</f>
        <v>18675</v>
      </c>
      <c r="H85" s="147"/>
      <c r="I85" s="147"/>
      <c r="J85" s="147"/>
      <c r="K85" s="147"/>
      <c r="L85" s="147"/>
      <c r="M85" s="147"/>
      <c r="N85" s="147"/>
      <c r="O85" s="147"/>
      <c r="P85" s="147"/>
      <c r="Q85" s="147"/>
      <c r="R85" s="516">
        <f t="shared" si="28"/>
        <v>1245000</v>
      </c>
      <c r="S85" s="147">
        <f>C85</f>
        <v>1226325</v>
      </c>
      <c r="T85" s="147"/>
      <c r="U85" s="143"/>
    </row>
    <row r="86" spans="1:21" s="144" customFormat="1">
      <c r="A86" s="145" t="s">
        <v>770</v>
      </c>
      <c r="B86" s="146">
        <f t="shared" si="27"/>
        <v>225000</v>
      </c>
      <c r="C86" s="147">
        <v>221625</v>
      </c>
      <c r="D86" s="147">
        <v>3375</v>
      </c>
      <c r="E86" s="147">
        <f t="shared" si="29"/>
        <v>221625</v>
      </c>
      <c r="F86" s="147"/>
      <c r="G86" s="147">
        <f>D86</f>
        <v>3375</v>
      </c>
      <c r="H86" s="147"/>
      <c r="I86" s="147"/>
      <c r="J86" s="147"/>
      <c r="K86" s="147"/>
      <c r="L86" s="147"/>
      <c r="M86" s="147"/>
      <c r="N86" s="147"/>
      <c r="O86" s="147"/>
      <c r="P86" s="147"/>
      <c r="Q86" s="147"/>
      <c r="R86" s="516">
        <f t="shared" si="28"/>
        <v>225000</v>
      </c>
      <c r="S86" s="147">
        <f>C86</f>
        <v>221625</v>
      </c>
      <c r="T86" s="147"/>
      <c r="U86" s="143"/>
    </row>
    <row r="87" spans="1:21" s="144" customFormat="1">
      <c r="A87" s="145" t="s">
        <v>771</v>
      </c>
      <c r="B87" s="146">
        <f t="shared" si="27"/>
        <v>0</v>
      </c>
      <c r="C87" s="147"/>
      <c r="D87" s="147"/>
      <c r="E87" s="147">
        <f t="shared" si="29"/>
        <v>0</v>
      </c>
      <c r="F87" s="147"/>
      <c r="G87" s="147"/>
      <c r="H87" s="147"/>
      <c r="I87" s="147"/>
      <c r="J87" s="147"/>
      <c r="K87" s="147"/>
      <c r="L87" s="147"/>
      <c r="M87" s="147"/>
      <c r="N87" s="147"/>
      <c r="O87" s="147"/>
      <c r="P87" s="147"/>
      <c r="Q87" s="147"/>
      <c r="R87" s="516">
        <f t="shared" si="28"/>
        <v>0</v>
      </c>
      <c r="S87" s="147">
        <f t="shared" ref="S87" si="30">R87</f>
        <v>0</v>
      </c>
      <c r="T87" s="147"/>
      <c r="U87" s="143"/>
    </row>
    <row r="88" spans="1:21" s="144" customFormat="1">
      <c r="A88" s="145" t="s">
        <v>772</v>
      </c>
      <c r="B88" s="146">
        <f t="shared" si="27"/>
        <v>25000</v>
      </c>
      <c r="C88" s="147">
        <v>25000</v>
      </c>
      <c r="D88" s="147"/>
      <c r="E88" s="147">
        <f t="shared" si="29"/>
        <v>25000</v>
      </c>
      <c r="F88" s="147"/>
      <c r="G88" s="147"/>
      <c r="H88" s="147"/>
      <c r="I88" s="147"/>
      <c r="J88" s="147"/>
      <c r="K88" s="147"/>
      <c r="L88" s="147"/>
      <c r="M88" s="147"/>
      <c r="N88" s="147"/>
      <c r="O88" s="147"/>
      <c r="P88" s="147"/>
      <c r="Q88" s="147"/>
      <c r="R88" s="516">
        <f t="shared" si="28"/>
        <v>25000</v>
      </c>
      <c r="S88" s="148"/>
      <c r="T88" s="148"/>
      <c r="U88" s="143"/>
    </row>
    <row r="89" spans="1:21" s="144" customFormat="1">
      <c r="A89" s="145" t="s">
        <v>773</v>
      </c>
      <c r="B89" s="146">
        <f t="shared" si="27"/>
        <v>75000</v>
      </c>
      <c r="C89" s="147">
        <v>75000</v>
      </c>
      <c r="D89" s="147"/>
      <c r="E89" s="147">
        <f t="shared" si="29"/>
        <v>75000</v>
      </c>
      <c r="F89" s="147"/>
      <c r="G89" s="147"/>
      <c r="H89" s="147"/>
      <c r="I89" s="147"/>
      <c r="J89" s="147"/>
      <c r="K89" s="147"/>
      <c r="L89" s="147"/>
      <c r="M89" s="147"/>
      <c r="N89" s="147"/>
      <c r="O89" s="147"/>
      <c r="P89" s="147"/>
      <c r="Q89" s="147"/>
      <c r="R89" s="516">
        <f t="shared" si="28"/>
        <v>75000</v>
      </c>
      <c r="S89" s="147">
        <v>75000</v>
      </c>
      <c r="T89" s="147"/>
      <c r="U89" s="143"/>
    </row>
    <row r="90" spans="1:21" s="144" customFormat="1">
      <c r="A90" s="145" t="s">
        <v>774</v>
      </c>
      <c r="B90" s="146">
        <f t="shared" si="27"/>
        <v>18500</v>
      </c>
      <c r="C90" s="147">
        <v>18500</v>
      </c>
      <c r="D90" s="147"/>
      <c r="E90" s="147">
        <f t="shared" si="29"/>
        <v>18500</v>
      </c>
      <c r="F90" s="147"/>
      <c r="G90" s="147"/>
      <c r="H90" s="147"/>
      <c r="I90" s="147"/>
      <c r="J90" s="147"/>
      <c r="K90" s="147"/>
      <c r="L90" s="147"/>
      <c r="M90" s="147"/>
      <c r="N90" s="147"/>
      <c r="O90" s="147"/>
      <c r="P90" s="147"/>
      <c r="Q90" s="147"/>
      <c r="R90" s="516">
        <f t="shared" si="28"/>
        <v>18500</v>
      </c>
      <c r="S90" s="147">
        <v>18500</v>
      </c>
      <c r="T90" s="147"/>
      <c r="U90" s="143"/>
    </row>
    <row r="91" spans="1:21" s="144" customFormat="1">
      <c r="A91" s="145" t="s">
        <v>372</v>
      </c>
      <c r="B91" s="146">
        <f t="shared" si="27"/>
        <v>35000</v>
      </c>
      <c r="C91" s="147">
        <v>35000</v>
      </c>
      <c r="D91" s="147"/>
      <c r="E91" s="147">
        <f t="shared" si="29"/>
        <v>35000</v>
      </c>
      <c r="F91" s="147"/>
      <c r="G91" s="147"/>
      <c r="H91" s="147"/>
      <c r="I91" s="147"/>
      <c r="J91" s="147"/>
      <c r="K91" s="147"/>
      <c r="L91" s="147"/>
      <c r="M91" s="147"/>
      <c r="N91" s="147"/>
      <c r="O91" s="147"/>
      <c r="P91" s="147"/>
      <c r="Q91" s="147"/>
      <c r="R91" s="516">
        <f t="shared" si="28"/>
        <v>35000</v>
      </c>
      <c r="S91" s="147">
        <f>R91</f>
        <v>35000</v>
      </c>
      <c r="T91" s="147"/>
      <c r="U91" s="143"/>
    </row>
    <row r="92" spans="1:21" s="144" customFormat="1">
      <c r="A92" s="283" t="s">
        <v>1212</v>
      </c>
      <c r="B92" s="146">
        <f t="shared" si="27"/>
        <v>11500</v>
      </c>
      <c r="C92" s="147">
        <v>11500</v>
      </c>
      <c r="D92" s="147"/>
      <c r="E92" s="147">
        <f t="shared" si="29"/>
        <v>11500</v>
      </c>
      <c r="F92" s="147"/>
      <c r="G92" s="147"/>
      <c r="H92" s="147"/>
      <c r="I92" s="147"/>
      <c r="J92" s="147"/>
      <c r="K92" s="147"/>
      <c r="L92" s="147"/>
      <c r="M92" s="147"/>
      <c r="N92" s="147"/>
      <c r="O92" s="147"/>
      <c r="P92" s="147"/>
      <c r="Q92" s="147"/>
      <c r="R92" s="516">
        <f t="shared" si="28"/>
        <v>11500</v>
      </c>
      <c r="S92" s="147">
        <f>11500</f>
        <v>11500</v>
      </c>
      <c r="T92" s="147"/>
      <c r="U92" s="143"/>
    </row>
    <row r="93" spans="1:21" s="144" customFormat="1">
      <c r="A93" s="1149" t="s">
        <v>34</v>
      </c>
      <c r="B93" s="146">
        <f t="shared" si="27"/>
        <v>0</v>
      </c>
      <c r="C93" s="147"/>
      <c r="D93" s="147"/>
      <c r="E93" s="147">
        <f t="shared" si="29"/>
        <v>0</v>
      </c>
      <c r="F93" s="147"/>
      <c r="G93" s="147"/>
      <c r="H93" s="147"/>
      <c r="I93" s="147"/>
      <c r="J93" s="147"/>
      <c r="K93" s="147"/>
      <c r="L93" s="147"/>
      <c r="M93" s="147"/>
      <c r="N93" s="147"/>
      <c r="O93" s="147"/>
      <c r="P93" s="147"/>
      <c r="Q93" s="147"/>
      <c r="R93" s="516">
        <f t="shared" si="28"/>
        <v>0</v>
      </c>
      <c r="S93" s="147"/>
      <c r="T93" s="147"/>
      <c r="U93" s="143"/>
    </row>
    <row r="94" spans="1:21" s="144" customFormat="1">
      <c r="A94" s="1149" t="s">
        <v>34</v>
      </c>
      <c r="B94" s="146">
        <f t="shared" si="27"/>
        <v>0</v>
      </c>
      <c r="C94" s="147"/>
      <c r="D94" s="147"/>
      <c r="E94" s="147"/>
      <c r="F94" s="147"/>
      <c r="G94" s="147"/>
      <c r="H94" s="147"/>
      <c r="I94" s="147"/>
      <c r="J94" s="147"/>
      <c r="K94" s="147"/>
      <c r="L94" s="147"/>
      <c r="M94" s="147"/>
      <c r="N94" s="147"/>
      <c r="O94" s="147"/>
      <c r="P94" s="147"/>
      <c r="Q94" s="147"/>
      <c r="R94" s="516">
        <f t="shared" si="28"/>
        <v>0</v>
      </c>
      <c r="S94" s="147"/>
      <c r="T94" s="147"/>
      <c r="U94" s="143"/>
    </row>
    <row r="95" spans="1:21" s="144" customFormat="1">
      <c r="A95" s="1149" t="s">
        <v>34</v>
      </c>
      <c r="B95" s="146">
        <f t="shared" si="27"/>
        <v>0</v>
      </c>
      <c r="C95" s="147"/>
      <c r="D95" s="147"/>
      <c r="E95" s="147"/>
      <c r="F95" s="147"/>
      <c r="G95" s="147"/>
      <c r="H95" s="147"/>
      <c r="I95" s="147"/>
      <c r="J95" s="147"/>
      <c r="K95" s="147"/>
      <c r="L95" s="147"/>
      <c r="M95" s="147"/>
      <c r="N95" s="147"/>
      <c r="O95" s="147"/>
      <c r="P95" s="147"/>
      <c r="Q95" s="147"/>
      <c r="R95" s="516">
        <f t="shared" si="28"/>
        <v>0</v>
      </c>
      <c r="S95" s="147"/>
      <c r="T95" s="147"/>
      <c r="U95" s="143"/>
    </row>
    <row r="96" spans="1:21" s="144" customFormat="1" ht="12">
      <c r="A96" s="149" t="s">
        <v>775</v>
      </c>
      <c r="B96" s="146">
        <f>SUM(C96:D96)</f>
        <v>1748866</v>
      </c>
      <c r="C96" s="146">
        <f t="shared" ref="C96:R96" si="31">SUM(C83:C95)</f>
        <v>1726816</v>
      </c>
      <c r="D96" s="146">
        <f t="shared" si="31"/>
        <v>22050</v>
      </c>
      <c r="E96" s="146">
        <f t="shared" si="31"/>
        <v>1726816</v>
      </c>
      <c r="F96" s="146">
        <f t="shared" si="31"/>
        <v>0</v>
      </c>
      <c r="G96" s="146">
        <f t="shared" si="31"/>
        <v>22050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1748866</v>
      </c>
      <c r="S96" s="150">
        <f>SUM(S84:S87,S89:S95)</f>
        <v>1595450</v>
      </c>
      <c r="T96" s="146">
        <f>SUM(T84:T87,T89:T95)</f>
        <v>0</v>
      </c>
      <c r="U96" s="143"/>
    </row>
    <row r="97" spans="1:21" s="144" customFormat="1" ht="12">
      <c r="A97" s="149" t="s">
        <v>776</v>
      </c>
      <c r="B97" s="146">
        <f>SUM(C97:D97)</f>
        <v>39481851</v>
      </c>
      <c r="C97" s="146">
        <f t="shared" ref="C97:R97" si="32">SUM(C63+C70+C77+C81+C96)</f>
        <v>38901627</v>
      </c>
      <c r="D97" s="146">
        <f t="shared" si="32"/>
        <v>580224</v>
      </c>
      <c r="E97" s="146">
        <f t="shared" si="32"/>
        <v>25481851</v>
      </c>
      <c r="F97" s="146">
        <f t="shared" si="32"/>
        <v>11500000</v>
      </c>
      <c r="G97" s="146">
        <f t="shared" si="32"/>
        <v>2500000</v>
      </c>
      <c r="H97" s="146">
        <f t="shared" si="32"/>
        <v>0</v>
      </c>
      <c r="I97" s="146">
        <f t="shared" si="32"/>
        <v>0</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39481851</v>
      </c>
      <c r="S97" s="146">
        <f>SUM(S63+S70+S81+S96)</f>
        <v>35915945</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5387392</v>
      </c>
      <c r="C99" s="979">
        <v>5387392</v>
      </c>
      <c r="D99" s="979"/>
      <c r="E99" s="979">
        <v>1293973</v>
      </c>
      <c r="F99" s="147"/>
      <c r="G99" s="147"/>
      <c r="H99" s="147">
        <f>C99-E99</f>
        <v>4093419</v>
      </c>
      <c r="I99" s="147"/>
      <c r="J99" s="147"/>
      <c r="K99" s="147"/>
      <c r="L99" s="147"/>
      <c r="M99" s="147"/>
      <c r="N99" s="147"/>
      <c r="O99" s="147"/>
      <c r="P99" s="147"/>
      <c r="Q99" s="147"/>
      <c r="R99" s="516">
        <f>SUM(E99:Q99)</f>
        <v>5387392</v>
      </c>
      <c r="S99" s="147">
        <f>R99</f>
        <v>5387392</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780</v>
      </c>
      <c r="B104" s="146">
        <f>SUM(C104:D104)</f>
        <v>5387392</v>
      </c>
      <c r="C104" s="146">
        <f>SUM(C99:C103)</f>
        <v>5387392</v>
      </c>
      <c r="D104" s="146">
        <f t="shared" ref="D104:T104" si="33">SUM(D99:D103)</f>
        <v>0</v>
      </c>
      <c r="E104" s="146">
        <f>SUM(E99:E103)</f>
        <v>1293973</v>
      </c>
      <c r="F104" s="146">
        <f t="shared" si="33"/>
        <v>0</v>
      </c>
      <c r="G104" s="146">
        <f t="shared" si="33"/>
        <v>0</v>
      </c>
      <c r="H104" s="146">
        <f t="shared" si="33"/>
        <v>4093419</v>
      </c>
      <c r="I104" s="146">
        <f t="shared" si="33"/>
        <v>0</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42">
        <f t="shared" si="33"/>
        <v>5387392</v>
      </c>
      <c r="S104" s="150">
        <f t="shared" si="33"/>
        <v>5387392</v>
      </c>
      <c r="T104" s="150">
        <f t="shared" si="33"/>
        <v>0</v>
      </c>
      <c r="U104" s="143"/>
    </row>
    <row r="105" spans="1:21" s="144" customFormat="1" ht="12">
      <c r="A105" s="149" t="s">
        <v>781</v>
      </c>
      <c r="B105" s="150">
        <f>SUM(C105:D105)</f>
        <v>44869243</v>
      </c>
      <c r="C105" s="150">
        <f t="shared" ref="C105:R105" si="34">SUM(C97+C104)</f>
        <v>44289019</v>
      </c>
      <c r="D105" s="150">
        <f t="shared" si="34"/>
        <v>580224</v>
      </c>
      <c r="E105" s="150">
        <f t="shared" si="34"/>
        <v>26775824</v>
      </c>
      <c r="F105" s="150">
        <f t="shared" si="34"/>
        <v>11500000</v>
      </c>
      <c r="G105" s="150">
        <f t="shared" si="34"/>
        <v>2500000</v>
      </c>
      <c r="H105" s="150">
        <f t="shared" si="34"/>
        <v>4093419</v>
      </c>
      <c r="I105" s="150">
        <f t="shared" si="34"/>
        <v>0</v>
      </c>
      <c r="J105" s="150">
        <f t="shared" si="34"/>
        <v>0</v>
      </c>
      <c r="K105" s="150">
        <f t="shared" si="34"/>
        <v>0</v>
      </c>
      <c r="L105" s="150">
        <f t="shared" si="34"/>
        <v>0</v>
      </c>
      <c r="M105" s="150">
        <f t="shared" si="34"/>
        <v>0</v>
      </c>
      <c r="N105" s="150">
        <f t="shared" si="34"/>
        <v>0</v>
      </c>
      <c r="O105" s="150">
        <f t="shared" si="34"/>
        <v>0</v>
      </c>
      <c r="P105" s="150">
        <f t="shared" si="34"/>
        <v>0</v>
      </c>
      <c r="Q105" s="150">
        <f t="shared" si="34"/>
        <v>0</v>
      </c>
      <c r="R105" s="342">
        <f t="shared" si="34"/>
        <v>44869243</v>
      </c>
      <c r="S105" s="150">
        <f>S97+S104</f>
        <v>41303337</v>
      </c>
      <c r="T105" s="150">
        <f>T97+T104</f>
        <v>0</v>
      </c>
      <c r="U105" s="143"/>
    </row>
    <row r="106" spans="1:21" ht="12">
      <c r="A106" s="514" t="s">
        <v>1021</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41303337</v>
      </c>
      <c r="T107" s="150">
        <f>T105+T106</f>
        <v>0</v>
      </c>
    </row>
    <row r="108" spans="1:21" s="189" customFormat="1" ht="12">
      <c r="A108" s="162" t="s">
        <v>880</v>
      </c>
      <c r="B108" s="157"/>
      <c r="C108" s="157"/>
      <c r="D108" s="157"/>
      <c r="E108" s="301">
        <f>Application!AO640</f>
        <v>26775824</v>
      </c>
      <c r="F108" s="301">
        <f>Application!AO627</f>
        <v>11500000</v>
      </c>
      <c r="G108" s="301">
        <f>Application!AO628</f>
        <v>2500000</v>
      </c>
      <c r="H108" s="301">
        <f>Application!AO629</f>
        <v>4093419</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959</v>
      </c>
      <c r="B110" s="157"/>
      <c r="C110" s="157"/>
      <c r="D110" s="157"/>
    </row>
    <row r="111" spans="1:21" ht="12">
      <c r="A111" s="156" t="s">
        <v>960</v>
      </c>
      <c r="B111" s="157"/>
      <c r="C111" s="157"/>
      <c r="D111" s="157"/>
    </row>
    <row r="112" spans="1:21" ht="12" customHeight="1">
      <c r="A112" s="312"/>
      <c r="B112" s="157"/>
      <c r="C112" s="157"/>
      <c r="D112" s="157"/>
    </row>
    <row r="113" spans="1:21" ht="12">
      <c r="A113" s="156" t="s">
        <v>1020</v>
      </c>
      <c r="B113" s="157"/>
      <c r="C113" s="157"/>
      <c r="D113" s="157"/>
    </row>
    <row r="114" spans="1:21" ht="12">
      <c r="A114" s="156" t="s">
        <v>2097</v>
      </c>
      <c r="B114" s="157"/>
      <c r="C114" s="157"/>
      <c r="D114" s="157"/>
    </row>
    <row r="115" spans="1:21" ht="12" customHeight="1">
      <c r="A115" s="312"/>
      <c r="B115" s="157"/>
      <c r="C115" s="157"/>
      <c r="D115" s="157"/>
    </row>
    <row r="116" spans="1:21" ht="12">
      <c r="A116" s="345" t="s">
        <v>1023</v>
      </c>
      <c r="B116" s="157"/>
      <c r="C116" s="157"/>
      <c r="D116" s="157"/>
    </row>
    <row r="117" spans="1:21" ht="12">
      <c r="A117" s="345" t="s">
        <v>1224</v>
      </c>
      <c r="B117" s="157"/>
      <c r="C117" s="157"/>
      <c r="D117" s="157"/>
    </row>
    <row r="118" spans="1:21" ht="12">
      <c r="A118" s="345" t="s">
        <v>1022</v>
      </c>
      <c r="B118" s="157"/>
      <c r="C118" s="157"/>
      <c r="D118" s="157"/>
    </row>
    <row r="119" spans="1:21" ht="12">
      <c r="A119" s="345" t="s">
        <v>1024</v>
      </c>
      <c r="B119" s="157"/>
      <c r="C119" s="157"/>
      <c r="D119" s="157"/>
    </row>
    <row r="120" spans="1:21" ht="12" customHeight="1">
      <c r="A120" s="344"/>
      <c r="B120" s="157"/>
      <c r="C120" s="157"/>
      <c r="D120" s="157"/>
    </row>
    <row r="121" spans="1:21" ht="15.6">
      <c r="A121" s="338" t="s">
        <v>1006</v>
      </c>
      <c r="B121" s="157"/>
      <c r="C121" s="157"/>
      <c r="D121" s="157"/>
    </row>
    <row r="122" spans="1:21">
      <c r="A122" s="325" t="s">
        <v>990</v>
      </c>
      <c r="B122" s="324"/>
      <c r="C122" s="324"/>
      <c r="D122" s="1868" t="s">
        <v>991</v>
      </c>
      <c r="E122" s="1868"/>
      <c r="F122" s="1868"/>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0" t="s">
        <v>1225</v>
      </c>
      <c r="E123" s="1553"/>
      <c r="F123" s="1553"/>
      <c r="G123" s="1553"/>
      <c r="H123" s="1553"/>
      <c r="I123" s="1553"/>
      <c r="J123" s="1553"/>
      <c r="K123" s="1553"/>
      <c r="L123" s="1553"/>
      <c r="M123" s="1553"/>
      <c r="N123" s="1553"/>
      <c r="O123" s="1553"/>
      <c r="P123" s="1553"/>
      <c r="Q123" s="1553"/>
      <c r="R123" s="1553"/>
      <c r="S123" s="1553"/>
      <c r="T123" s="324"/>
      <c r="U123" s="326"/>
    </row>
    <row r="124" spans="1:21" ht="13.2">
      <c r="A124" s="117" t="s">
        <v>993</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3.2">
      <c r="A125" s="117" t="s">
        <v>994</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3.2">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997</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3.2">
      <c r="A129" s="117" t="s">
        <v>300</v>
      </c>
      <c r="B129" s="333"/>
      <c r="C129" s="117"/>
      <c r="D129" s="1867" t="s">
        <v>998</v>
      </c>
      <c r="E129" s="1867"/>
      <c r="F129" s="1867"/>
      <c r="G129" s="1867"/>
      <c r="H129" s="1867"/>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1" t="s">
        <v>1001</v>
      </c>
      <c r="E132" s="1861"/>
      <c r="F132" s="1861"/>
      <c r="G132" s="1861"/>
      <c r="H132" s="1861"/>
      <c r="I132" s="117"/>
      <c r="J132" s="1861" t="s">
        <v>1002</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3.2">
      <c r="A139" s="1858" t="s">
        <v>1005</v>
      </c>
      <c r="B139" s="1858"/>
      <c r="C139" s="1858"/>
      <c r="D139" s="328"/>
      <c r="E139" s="117" t="s">
        <v>999</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664062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664062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664062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664062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664062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664062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664062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664062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664062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664062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664062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664062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664062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664062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664062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664062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664062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664062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664062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664062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664062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664062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664062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664062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664062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664062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664062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664062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664062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664062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664062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664062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664062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664062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664062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664062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664062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664062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664062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664062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664062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664062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664062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664062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664062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664062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664062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664062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664062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664062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664062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664062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664062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664062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664062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664062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664062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664062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664062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664062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664062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664062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664062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664062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1" t="s">
        <v>1228</v>
      </c>
      <c r="B1" s="1872"/>
      <c r="C1" s="1872"/>
      <c r="D1" s="1872"/>
      <c r="E1" s="1872"/>
      <c r="F1" s="1872"/>
      <c r="G1" s="1872"/>
      <c r="H1" s="1872"/>
      <c r="I1" s="1872"/>
      <c r="J1" s="1873"/>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1625250</v>
      </c>
      <c r="C4" s="362"/>
      <c r="D4" s="362"/>
      <c r="E4" s="363"/>
      <c r="F4" s="363"/>
      <c r="G4" s="363"/>
      <c r="H4" s="363"/>
      <c r="I4" s="363"/>
      <c r="J4" s="363"/>
      <c r="K4" s="359"/>
    </row>
    <row r="5" spans="1:11" s="360" customFormat="1" ht="11.4">
      <c r="A5" s="364" t="s">
        <v>28</v>
      </c>
      <c r="B5" s="361">
        <f>'Sources and Uses Budget'!C5</f>
        <v>172375</v>
      </c>
      <c r="C5" s="362"/>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594</v>
      </c>
      <c r="B8" s="361">
        <f>'Sources and Uses Budget'!C8</f>
        <v>1797625</v>
      </c>
      <c r="C8" s="361">
        <f>SUM(C4:C7)</f>
        <v>0</v>
      </c>
      <c r="D8" s="361">
        <f>SUM(D4:D7)</f>
        <v>0</v>
      </c>
      <c r="E8" s="363"/>
      <c r="F8" s="363"/>
      <c r="G8" s="363"/>
      <c r="H8" s="363"/>
      <c r="I8" s="363"/>
      <c r="J8" s="363"/>
      <c r="K8" s="359"/>
    </row>
    <row r="9" spans="1:11" s="360" customFormat="1" ht="11.4">
      <c r="A9" s="364" t="s">
        <v>595</v>
      </c>
      <c r="B9" s="361">
        <f>'Sources and Uses Budget'!C9</f>
        <v>0</v>
      </c>
      <c r="C9" s="362"/>
      <c r="D9" s="362"/>
      <c r="E9" s="363"/>
      <c r="F9" s="363"/>
      <c r="G9" s="363"/>
      <c r="H9" s="361">
        <f>'Sources and Uses Budget'!T9</f>
        <v>0</v>
      </c>
      <c r="I9" s="362"/>
      <c r="J9" s="362"/>
      <c r="K9" s="359"/>
    </row>
    <row r="10" spans="1:11" s="360" customFormat="1" ht="11.4">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1797625</v>
      </c>
      <c r="C12" s="361">
        <f>SUM(C8+C11)</f>
        <v>0</v>
      </c>
      <c r="D12" s="361">
        <f>SUM(D8+D11)</f>
        <v>0</v>
      </c>
      <c r="E12" s="363"/>
      <c r="F12" s="363"/>
      <c r="G12" s="363"/>
      <c r="H12" s="363"/>
      <c r="I12" s="363"/>
      <c r="J12" s="363"/>
      <c r="K12" s="359"/>
    </row>
    <row r="13" spans="1:11" s="360" customFormat="1" ht="11.4">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598</v>
      </c>
      <c r="B16" s="358"/>
      <c r="C16" s="358"/>
      <c r="D16" s="358"/>
      <c r="E16" s="358"/>
      <c r="F16" s="358"/>
      <c r="G16" s="358"/>
      <c r="H16" s="358"/>
      <c r="I16" s="358"/>
      <c r="J16" s="358"/>
      <c r="K16" s="359"/>
    </row>
    <row r="17" spans="1:11" s="360" customFormat="1" ht="11.4">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599</v>
      </c>
      <c r="B29" s="361">
        <f>'Sources and Uses Budget'!C29</f>
        <v>664875</v>
      </c>
      <c r="C29" s="362"/>
      <c r="D29" s="362"/>
      <c r="E29" s="361">
        <f>'Sources and Uses Budget'!S29</f>
        <v>664875</v>
      </c>
      <c r="F29" s="362"/>
      <c r="G29" s="362"/>
      <c r="H29" s="361">
        <f>'Sources and Uses Budget'!T29</f>
        <v>0</v>
      </c>
      <c r="I29" s="362"/>
      <c r="J29" s="362"/>
      <c r="K29" s="359"/>
    </row>
    <row r="30" spans="1:11" s="360" customFormat="1" ht="11.4">
      <c r="A30" s="145" t="s">
        <v>600</v>
      </c>
      <c r="B30" s="361">
        <f>'Sources and Uses Budget'!C30</f>
        <v>24506664</v>
      </c>
      <c r="C30" s="362"/>
      <c r="D30" s="362"/>
      <c r="E30" s="361">
        <f>'Sources and Uses Budget'!S30</f>
        <v>24506664</v>
      </c>
      <c r="F30" s="362"/>
      <c r="G30" s="362"/>
      <c r="H30" s="361">
        <f>'Sources and Uses Budget'!T30</f>
        <v>0</v>
      </c>
      <c r="I30" s="362"/>
      <c r="J30" s="362"/>
      <c r="K30" s="359"/>
    </row>
    <row r="31" spans="1:11" s="360" customFormat="1" ht="11.4">
      <c r="A31" s="145" t="s">
        <v>601</v>
      </c>
      <c r="B31" s="361">
        <f>'Sources and Uses Budget'!C31</f>
        <v>1576000</v>
      </c>
      <c r="C31" s="362"/>
      <c r="D31" s="362"/>
      <c r="E31" s="361">
        <f>'Sources and Uses Budget'!S31</f>
        <v>1576000</v>
      </c>
      <c r="F31" s="362"/>
      <c r="G31" s="362"/>
      <c r="H31" s="361">
        <f>'Sources and Uses Budget'!T31</f>
        <v>0</v>
      </c>
      <c r="I31" s="362"/>
      <c r="J31" s="362"/>
      <c r="K31" s="359"/>
    </row>
    <row r="32" spans="1:11" s="360" customFormat="1" ht="11.4">
      <c r="A32" s="145" t="s">
        <v>137</v>
      </c>
      <c r="B32" s="361">
        <f>'Sources and Uses Budget'!C32</f>
        <v>443250</v>
      </c>
      <c r="C32" s="362"/>
      <c r="D32" s="362"/>
      <c r="E32" s="361">
        <f>'Sources and Uses Budget'!S32</f>
        <v>443250</v>
      </c>
      <c r="F32" s="362"/>
      <c r="G32" s="362"/>
      <c r="H32" s="361">
        <f>'Sources and Uses Budget'!T32</f>
        <v>0</v>
      </c>
      <c r="I32" s="362"/>
      <c r="J32" s="362"/>
      <c r="K32" s="359"/>
    </row>
    <row r="33" spans="1:11" s="360" customFormat="1" ht="11.4">
      <c r="A33" s="145" t="s">
        <v>138</v>
      </c>
      <c r="B33" s="361">
        <f>'Sources and Uses Budget'!C33</f>
        <v>1381989</v>
      </c>
      <c r="C33" s="362"/>
      <c r="D33" s="362"/>
      <c r="E33" s="361">
        <f>'Sources and Uses Budget'!S33</f>
        <v>1381989</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44325</v>
      </c>
      <c r="C35" s="362"/>
      <c r="D35" s="362"/>
      <c r="E35" s="361">
        <f>'Sources and Uses Budget'!S35</f>
        <v>44325</v>
      </c>
      <c r="F35" s="362"/>
      <c r="G35" s="362"/>
      <c r="H35" s="361">
        <f>'Sources and Uses Budget'!T35</f>
        <v>0</v>
      </c>
      <c r="I35" s="362"/>
      <c r="J35" s="362"/>
      <c r="K35" s="359"/>
    </row>
    <row r="36" spans="1:11" s="360" customFormat="1" ht="11.4">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28617103</v>
      </c>
      <c r="C38" s="361">
        <f>SUM(C29:C37)</f>
        <v>0</v>
      </c>
      <c r="D38" s="361">
        <f>SUM(D29:D37)</f>
        <v>0</v>
      </c>
      <c r="E38" s="361">
        <f>'Sources and Uses Budget'!S38</f>
        <v>28617103</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531900</v>
      </c>
      <c r="C40" s="362"/>
      <c r="D40" s="362"/>
      <c r="E40" s="361">
        <f>'Sources and Uses Budget'!S40</f>
        <v>531900</v>
      </c>
      <c r="F40" s="362"/>
      <c r="G40" s="362"/>
      <c r="H40" s="361">
        <f>'Sources and Uses Budget'!T40</f>
        <v>0</v>
      </c>
      <c r="I40" s="362"/>
      <c r="J40" s="362"/>
      <c r="K40" s="359"/>
    </row>
    <row r="41" spans="1:11" s="360" customFormat="1" ht="11.4">
      <c r="A41" s="364" t="s">
        <v>146</v>
      </c>
      <c r="B41" s="361">
        <f>'Sources and Uses Budget'!C41</f>
        <v>65000</v>
      </c>
      <c r="C41" s="362"/>
      <c r="D41" s="362"/>
      <c r="E41" s="361">
        <f>'Sources and Uses Budget'!S41</f>
        <v>65000</v>
      </c>
      <c r="F41" s="362"/>
      <c r="G41" s="362"/>
      <c r="H41" s="361">
        <f>'Sources and Uses Budget'!T41</f>
        <v>0</v>
      </c>
      <c r="I41" s="362"/>
      <c r="J41" s="362"/>
      <c r="K41" s="359"/>
    </row>
    <row r="42" spans="1:11" s="360" customFormat="1">
      <c r="A42" s="365" t="s">
        <v>147</v>
      </c>
      <c r="B42" s="361">
        <f>'Sources and Uses Budget'!C42</f>
        <v>596900</v>
      </c>
      <c r="C42" s="361">
        <f>SUM(C39:C41)</f>
        <v>0</v>
      </c>
      <c r="D42" s="361">
        <f>SUM(D39:D41)</f>
        <v>0</v>
      </c>
      <c r="E42" s="361">
        <f>'Sources and Uses Budget'!S42</f>
        <v>596900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541750</v>
      </c>
      <c r="C43" s="362"/>
      <c r="D43" s="362"/>
      <c r="E43" s="361">
        <f>'Sources and Uses Budget'!S43</f>
        <v>541750</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2476832</v>
      </c>
      <c r="C45" s="362"/>
      <c r="D45" s="362"/>
      <c r="E45" s="361">
        <f>'Sources and Uses Budget'!S45</f>
        <v>1777559</v>
      </c>
      <c r="F45" s="362"/>
      <c r="G45" s="362"/>
      <c r="H45" s="361">
        <f>'Sources and Uses Budget'!T45</f>
        <v>0</v>
      </c>
      <c r="I45" s="362"/>
      <c r="J45" s="362"/>
      <c r="K45" s="359"/>
    </row>
    <row r="46" spans="1:11" s="360" customFormat="1" ht="11.4">
      <c r="A46" s="364" t="s">
        <v>151</v>
      </c>
      <c r="B46" s="361">
        <f>'Sources and Uses Budget'!C46</f>
        <v>212500</v>
      </c>
      <c r="C46" s="362"/>
      <c r="D46" s="362"/>
      <c r="E46" s="361">
        <f>'Sources and Uses Budget'!S46</f>
        <v>212500</v>
      </c>
      <c r="F46" s="362"/>
      <c r="G46" s="362"/>
      <c r="H46" s="361">
        <f>'Sources and Uses Budget'!T46</f>
        <v>0</v>
      </c>
      <c r="I46" s="362"/>
      <c r="J46" s="362"/>
      <c r="K46" s="359"/>
    </row>
    <row r="47" spans="1:11" s="360" customFormat="1" ht="12" customHeight="1">
      <c r="A47" s="364" t="s">
        <v>152</v>
      </c>
      <c r="B47" s="361">
        <f>'Sources and Uses Budget'!C47</f>
        <v>24625</v>
      </c>
      <c r="C47" s="362"/>
      <c r="D47" s="362"/>
      <c r="E47" s="361">
        <f>'Sources and Uses Budget'!S47</f>
        <v>24625</v>
      </c>
      <c r="F47" s="362"/>
      <c r="G47" s="362"/>
      <c r="H47" s="361">
        <f>'Sources and Uses Budget'!T47</f>
        <v>0</v>
      </c>
      <c r="I47" s="362"/>
      <c r="J47" s="362"/>
      <c r="K47" s="359"/>
    </row>
    <row r="48" spans="1:11" s="360" customFormat="1" ht="11.4">
      <c r="A48" s="364" t="s">
        <v>153</v>
      </c>
      <c r="B48" s="361">
        <f>'Sources and Uses Budget'!C48</f>
        <v>367405</v>
      </c>
      <c r="C48" s="362"/>
      <c r="D48" s="362"/>
      <c r="E48" s="361">
        <f>'Sources and Uses Budget'!S48</f>
        <v>367405</v>
      </c>
      <c r="F48" s="362"/>
      <c r="G48" s="362"/>
      <c r="H48" s="361">
        <f>'Sources and Uses Budget'!T48</f>
        <v>0</v>
      </c>
      <c r="I48" s="362"/>
      <c r="J48" s="362"/>
      <c r="K48" s="359"/>
    </row>
    <row r="49" spans="1:11" s="360" customFormat="1" ht="11.4">
      <c r="A49" s="283" t="s">
        <v>57</v>
      </c>
      <c r="B49" s="361">
        <f>'Sources and Uses Budget'!C49</f>
        <v>95000</v>
      </c>
      <c r="C49" s="362"/>
      <c r="D49" s="362"/>
      <c r="E49" s="361">
        <f>'Sources and Uses Budget'!S49</f>
        <v>75000</v>
      </c>
      <c r="F49" s="362"/>
      <c r="G49" s="362"/>
      <c r="H49" s="361">
        <f>'Sources and Uses Budget'!T49</f>
        <v>0</v>
      </c>
      <c r="I49" s="362"/>
      <c r="J49" s="362"/>
      <c r="K49" s="359"/>
    </row>
    <row r="50" spans="1:11" s="360" customFormat="1" ht="11.4">
      <c r="A50" s="364" t="s">
        <v>156</v>
      </c>
      <c r="B50" s="361">
        <f>'Sources and Uses Budget'!C50</f>
        <v>54175</v>
      </c>
      <c r="C50" s="362"/>
      <c r="D50" s="362"/>
      <c r="E50" s="361">
        <f>'Sources and Uses Budget'!S50</f>
        <v>54175</v>
      </c>
      <c r="F50" s="362"/>
      <c r="G50" s="362"/>
      <c r="H50" s="361">
        <f>'Sources and Uses Budget'!T50</f>
        <v>0</v>
      </c>
      <c r="I50" s="362"/>
      <c r="J50" s="362"/>
      <c r="K50" s="359"/>
    </row>
    <row r="51" spans="1:11" s="360" customFormat="1" ht="11.4">
      <c r="A51" s="364" t="s">
        <v>154</v>
      </c>
      <c r="B51" s="361">
        <f>'Sources and Uses Budget'!C51</f>
        <v>34475</v>
      </c>
      <c r="C51" s="362"/>
      <c r="D51" s="362"/>
      <c r="E51" s="361">
        <f>'Sources and Uses Budget'!S51</f>
        <v>34475</v>
      </c>
      <c r="F51" s="362"/>
      <c r="G51" s="362"/>
      <c r="H51" s="361">
        <f>'Sources and Uses Budget'!T51</f>
        <v>0</v>
      </c>
      <c r="I51" s="362"/>
      <c r="J51" s="362"/>
      <c r="K51" s="359"/>
    </row>
    <row r="52" spans="1:11" s="360" customFormat="1" ht="11.4">
      <c r="A52" s="364" t="s">
        <v>155</v>
      </c>
      <c r="B52" s="361">
        <f>'Sources and Uses Budget'!C52</f>
        <v>379225</v>
      </c>
      <c r="C52" s="362"/>
      <c r="D52" s="362"/>
      <c r="E52" s="361">
        <f>'Sources and Uses Budget'!S52</f>
        <v>379225</v>
      </c>
      <c r="F52" s="362"/>
      <c r="G52" s="362"/>
      <c r="H52" s="361">
        <f>'Sources and Uses Budget'!T52</f>
        <v>0</v>
      </c>
      <c r="I52" s="362"/>
      <c r="J52" s="362"/>
      <c r="K52" s="359"/>
    </row>
    <row r="53" spans="1:11" s="360" customFormat="1" ht="11.4">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3644237</v>
      </c>
      <c r="C54" s="367">
        <f>SUM(C45:C53)</f>
        <v>0</v>
      </c>
      <c r="D54" s="367">
        <f>SUM(D45:D53)</f>
        <v>0</v>
      </c>
      <c r="E54" s="361">
        <f>'Sources and Uses Budget'!S54</f>
        <v>2924964</v>
      </c>
      <c r="F54" s="367">
        <f>SUM(F45:F53)</f>
        <v>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7500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3500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(Specify)</v>
      </c>
      <c r="B61" s="361">
        <f>'Sources and Uses Budget'!C61</f>
        <v>0</v>
      </c>
      <c r="C61" s="362"/>
      <c r="D61" s="362"/>
      <c r="E61" s="363"/>
      <c r="F61" s="363"/>
      <c r="G61" s="363"/>
      <c r="H61" s="363"/>
      <c r="I61" s="363"/>
      <c r="J61" s="363"/>
      <c r="K61" s="359"/>
    </row>
    <row r="62" spans="1:11" s="360" customFormat="1" ht="13.65" customHeight="1">
      <c r="A62" s="365" t="s">
        <v>301</v>
      </c>
      <c r="B62" s="361">
        <f>'Sources and Uses Budget'!C62</f>
        <v>11000</v>
      </c>
      <c r="C62" s="361">
        <f>SUM(C56:C61)</f>
        <v>0</v>
      </c>
      <c r="D62" s="361">
        <f>SUM(D56:D61)</f>
        <v>0</v>
      </c>
      <c r="E62" s="363"/>
      <c r="F62" s="363"/>
      <c r="G62" s="363"/>
      <c r="H62" s="363"/>
      <c r="I62" s="363"/>
      <c r="J62" s="363"/>
      <c r="K62" s="359"/>
    </row>
    <row r="63" spans="1:11" s="360" customFormat="1" ht="11.4">
      <c r="A63" s="370" t="s">
        <v>302</v>
      </c>
      <c r="B63" s="361">
        <f>'Sources and Uses Budget'!C63</f>
        <v>35208615</v>
      </c>
      <c r="C63" s="361">
        <f>SUM(C8+C11+C13+C14+C15+C26+C27+C38+C42+C43+C54+C62)</f>
        <v>0</v>
      </c>
      <c r="D63" s="361">
        <f>SUM(D8+D11+D13+D14+D15+D26+D27+D38+D42+D43+D54+D62)</f>
        <v>0</v>
      </c>
      <c r="E63" s="361">
        <f>'Sources and Uses Budget'!S63</f>
        <v>32680717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1645</v>
      </c>
      <c r="B64" s="358"/>
      <c r="C64" s="358"/>
      <c r="D64" s="358"/>
      <c r="E64" s="358"/>
      <c r="F64" s="358"/>
      <c r="G64" s="358"/>
      <c r="H64" s="358"/>
      <c r="I64" s="358"/>
      <c r="J64" s="358"/>
      <c r="K64" s="359"/>
    </row>
    <row r="65" spans="1:11" s="360" customFormat="1" ht="11.4">
      <c r="A65" s="145" t="s">
        <v>171</v>
      </c>
      <c r="B65" s="361">
        <f>'Sources and Uses Budget'!C65</f>
        <v>75000</v>
      </c>
      <c r="C65" s="362"/>
      <c r="D65" s="362"/>
      <c r="E65" s="361">
        <f>'Sources and Uses Budget'!S65</f>
        <v>75000</v>
      </c>
      <c r="F65" s="362"/>
      <c r="G65" s="362"/>
      <c r="H65" s="361">
        <f>'Sources and Uses Budget'!T65</f>
        <v>0</v>
      </c>
      <c r="I65" s="362"/>
      <c r="J65" s="362"/>
      <c r="K65" s="359"/>
    </row>
    <row r="66" spans="1:11" s="360" customFormat="1" ht="22.8">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75000</v>
      </c>
      <c r="C70" s="361">
        <f>SUM(C64:C69)</f>
        <v>0</v>
      </c>
      <c r="D70" s="361">
        <f>SUM(D64:D69)</f>
        <v>0</v>
      </c>
      <c r="E70" s="361">
        <f>'Sources and Uses Budget'!S70</f>
        <v>75000</v>
      </c>
      <c r="F70" s="367">
        <f>SUM(F65:F69)</f>
        <v>0</v>
      </c>
      <c r="G70" s="367">
        <f>SUM(G65:G69)</f>
        <v>0</v>
      </c>
      <c r="H70" s="361">
        <f>'Sources and Uses Budget'!T70</f>
        <v>0</v>
      </c>
      <c r="I70" s="367">
        <f>SUM(I65:I69)</f>
        <v>0</v>
      </c>
      <c r="J70" s="367">
        <f>SUM(J65:J69)</f>
        <v>0</v>
      </c>
      <c r="K70" s="359"/>
    </row>
    <row r="71" spans="1:11" s="360" customFormat="1" ht="11.4">
      <c r="A71" s="357" t="s">
        <v>603</v>
      </c>
      <c r="B71" s="358"/>
      <c r="C71" s="358"/>
      <c r="D71" s="358"/>
      <c r="E71" s="358"/>
      <c r="F71" s="358"/>
      <c r="G71" s="358"/>
      <c r="H71" s="358"/>
      <c r="I71" s="358"/>
      <c r="J71" s="358"/>
      <c r="K71" s="359"/>
    </row>
    <row r="72" spans="1:11" s="360" customFormat="1" ht="11.4">
      <c r="A72" s="364" t="s">
        <v>604</v>
      </c>
      <c r="B72" s="361">
        <f>'Sources and Uses Budget'!C72</f>
        <v>0</v>
      </c>
      <c r="C72" s="362"/>
      <c r="D72" s="362"/>
      <c r="E72" s="363"/>
      <c r="F72" s="363"/>
      <c r="G72" s="363"/>
      <c r="H72" s="363"/>
      <c r="I72" s="363"/>
      <c r="J72" s="363"/>
      <c r="K72" s="359"/>
    </row>
    <row r="73" spans="1:11" s="360" customFormat="1" ht="11.4">
      <c r="A73" s="364" t="s">
        <v>605</v>
      </c>
      <c r="B73" s="361">
        <f>'Sources and Uses Budget'!C73</f>
        <v>0</v>
      </c>
      <c r="C73" s="362"/>
      <c r="D73" s="362"/>
      <c r="E73" s="363"/>
      <c r="F73" s="363"/>
      <c r="G73" s="363"/>
      <c r="H73" s="363"/>
      <c r="I73" s="363"/>
      <c r="J73" s="363"/>
      <c r="K73" s="359"/>
    </row>
    <row r="74" spans="1:11" s="360" customFormat="1" ht="11.4">
      <c r="A74" s="366" t="s">
        <v>987</v>
      </c>
      <c r="B74" s="361">
        <f>'Sources and Uses Budget'!C74</f>
        <v>0</v>
      </c>
      <c r="C74" s="362"/>
      <c r="D74" s="362"/>
      <c r="E74" s="363"/>
      <c r="F74" s="363"/>
      <c r="G74" s="363"/>
      <c r="H74" s="363"/>
      <c r="I74" s="363"/>
      <c r="J74" s="363"/>
      <c r="K74" s="359"/>
    </row>
    <row r="75" spans="1:11" s="360" customFormat="1" ht="11.4">
      <c r="A75" s="364" t="s">
        <v>606</v>
      </c>
      <c r="B75" s="361">
        <f>'Sources and Uses Budget'!C75</f>
        <v>326418</v>
      </c>
      <c r="C75" s="362"/>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326418</v>
      </c>
      <c r="C77" s="361">
        <f>SUM(C72:C76)</f>
        <v>0</v>
      </c>
      <c r="D77" s="361">
        <f>SUM(D72:D76)</f>
        <v>0</v>
      </c>
      <c r="E77" s="363"/>
      <c r="F77" s="363"/>
      <c r="G77" s="363"/>
      <c r="H77" s="363"/>
      <c r="I77" s="363"/>
      <c r="J77" s="363"/>
      <c r="K77" s="359"/>
    </row>
    <row r="78" spans="1:11" s="360" customFormat="1" ht="11.4">
      <c r="A78" s="357" t="s">
        <v>1211</v>
      </c>
      <c r="B78" s="358"/>
      <c r="C78" s="358"/>
      <c r="D78" s="358"/>
      <c r="E78" s="358"/>
      <c r="F78" s="358"/>
      <c r="G78" s="358"/>
      <c r="H78" s="358"/>
      <c r="I78" s="358"/>
      <c r="J78" s="358"/>
      <c r="K78" s="359"/>
    </row>
    <row r="79" spans="1:11" s="360" customFormat="1" ht="11.4">
      <c r="A79" s="364" t="s">
        <v>1213</v>
      </c>
      <c r="B79" s="361">
        <f>'Sources and Uses Budget'!C79</f>
        <v>1417028</v>
      </c>
      <c r="C79" s="362"/>
      <c r="D79" s="362"/>
      <c r="E79" s="361">
        <f>'Sources and Uses Budget'!S79</f>
        <v>1417028</v>
      </c>
      <c r="F79" s="362"/>
      <c r="G79" s="362"/>
      <c r="H79" s="361">
        <f>'Sources and Uses Budget'!T79</f>
        <v>0</v>
      </c>
      <c r="I79" s="362"/>
      <c r="J79" s="362"/>
      <c r="K79" s="359"/>
    </row>
    <row r="80" spans="1:11" s="360" customFormat="1" ht="11.4">
      <c r="A80" s="364" t="s">
        <v>58</v>
      </c>
      <c r="B80" s="361">
        <f>'Sources and Uses Budget'!C80</f>
        <v>147750</v>
      </c>
      <c r="C80" s="362"/>
      <c r="D80" s="362"/>
      <c r="E80" s="361">
        <f>'Sources and Uses Budget'!S80</f>
        <v>147750</v>
      </c>
      <c r="F80" s="362"/>
      <c r="G80" s="362"/>
      <c r="H80" s="361">
        <f>'Sources and Uses Budget'!T80</f>
        <v>0</v>
      </c>
      <c r="I80" s="362"/>
      <c r="J80" s="362"/>
      <c r="K80" s="359"/>
    </row>
    <row r="81" spans="1:11" s="360" customFormat="1">
      <c r="A81" s="365" t="s">
        <v>1210</v>
      </c>
      <c r="B81" s="361">
        <f>'Sources and Uses Budget'!C81</f>
        <v>1564778</v>
      </c>
      <c r="C81" s="361">
        <f>SUM(C79:C80)</f>
        <v>0</v>
      </c>
      <c r="D81" s="361">
        <f>SUM(D79:D80)</f>
        <v>0</v>
      </c>
      <c r="E81" s="361">
        <f>'Sources and Uses Budget'!S81</f>
        <v>1564778</v>
      </c>
      <c r="F81" s="361">
        <f>SUM(F79:F80)</f>
        <v>0</v>
      </c>
      <c r="G81" s="361">
        <f>SUM(G79:G80)</f>
        <v>0</v>
      </c>
      <c r="H81" s="361">
        <f>'Sources and Uses Budget'!T81</f>
        <v>0</v>
      </c>
      <c r="I81" s="361">
        <f>SUM(I79:I80)</f>
        <v>0</v>
      </c>
      <c r="J81" s="361">
        <f>SUM(J79:J80)</f>
        <v>0</v>
      </c>
      <c r="K81" s="359"/>
    </row>
    <row r="82" spans="1:11" s="360" customFormat="1" ht="11.4">
      <c r="A82" s="357" t="s">
        <v>766</v>
      </c>
      <c r="B82" s="358"/>
      <c r="C82" s="358"/>
      <c r="D82" s="358"/>
      <c r="E82" s="358"/>
      <c r="F82" s="358"/>
      <c r="G82" s="358"/>
      <c r="H82" s="358"/>
      <c r="I82" s="358"/>
      <c r="J82" s="358"/>
      <c r="K82" s="359"/>
    </row>
    <row r="83" spans="1:11" s="360" customFormat="1" ht="13.65" customHeight="1">
      <c r="A83" s="145" t="s">
        <v>2096</v>
      </c>
      <c r="B83" s="361">
        <f>'Sources and Uses Budget'!C83</f>
        <v>106366</v>
      </c>
      <c r="C83" s="362"/>
      <c r="D83" s="362"/>
      <c r="E83" s="363"/>
      <c r="F83" s="363"/>
      <c r="G83" s="363"/>
      <c r="H83" s="363"/>
      <c r="I83" s="363"/>
      <c r="J83" s="363"/>
      <c r="K83" s="359"/>
    </row>
    <row r="84" spans="1:11" s="360" customFormat="1" ht="11.4">
      <c r="A84" s="145" t="s">
        <v>768</v>
      </c>
      <c r="B84" s="361">
        <f>'Sources and Uses Budget'!C84</f>
        <v>7500</v>
      </c>
      <c r="C84" s="362"/>
      <c r="D84" s="362"/>
      <c r="E84" s="361">
        <f>'Sources and Uses Budget'!S84</f>
        <v>7500</v>
      </c>
      <c r="F84" s="362"/>
      <c r="G84" s="362"/>
      <c r="H84" s="361">
        <f>'Sources and Uses Budget'!T84</f>
        <v>0</v>
      </c>
      <c r="I84" s="362"/>
      <c r="J84" s="362"/>
      <c r="K84" s="359"/>
    </row>
    <row r="85" spans="1:11" s="360" customFormat="1" ht="11.4">
      <c r="A85" s="145" t="s">
        <v>769</v>
      </c>
      <c r="B85" s="361">
        <f>'Sources and Uses Budget'!C85</f>
        <v>1226325</v>
      </c>
      <c r="C85" s="362"/>
      <c r="D85" s="362"/>
      <c r="E85" s="361">
        <f>'Sources and Uses Budget'!S85</f>
        <v>1226325</v>
      </c>
      <c r="F85" s="362"/>
      <c r="G85" s="362"/>
      <c r="H85" s="361">
        <f>'Sources and Uses Budget'!T85</f>
        <v>0</v>
      </c>
      <c r="I85" s="362"/>
      <c r="J85" s="362"/>
      <c r="K85" s="359"/>
    </row>
    <row r="86" spans="1:11" s="360" customFormat="1" ht="11.4">
      <c r="A86" s="145" t="s">
        <v>770</v>
      </c>
      <c r="B86" s="361">
        <f>'Sources and Uses Budget'!C86</f>
        <v>221625</v>
      </c>
      <c r="C86" s="362"/>
      <c r="D86" s="362"/>
      <c r="E86" s="361">
        <f>'Sources and Uses Budget'!S86</f>
        <v>221625</v>
      </c>
      <c r="F86" s="362"/>
      <c r="G86" s="362"/>
      <c r="H86" s="361">
        <f>'Sources and Uses Budget'!T86</f>
        <v>0</v>
      </c>
      <c r="I86" s="362"/>
      <c r="J86" s="362"/>
      <c r="K86" s="359"/>
    </row>
    <row r="87" spans="1:11" s="360" customFormat="1" ht="11.4">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772</v>
      </c>
      <c r="B88" s="361">
        <f>'Sources and Uses Budget'!C88</f>
        <v>25000</v>
      </c>
      <c r="C88" s="362"/>
      <c r="D88" s="362"/>
      <c r="E88" s="363"/>
      <c r="F88" s="363"/>
      <c r="G88" s="363"/>
      <c r="H88" s="363"/>
      <c r="I88" s="363"/>
      <c r="J88" s="363"/>
      <c r="K88" s="359"/>
    </row>
    <row r="89" spans="1:11" s="360" customFormat="1" ht="11.4">
      <c r="A89" s="145" t="s">
        <v>773</v>
      </c>
      <c r="B89" s="361">
        <f>'Sources and Uses Budget'!C89</f>
        <v>75000</v>
      </c>
      <c r="C89" s="362"/>
      <c r="D89" s="362"/>
      <c r="E89" s="361">
        <f>'Sources and Uses Budget'!S89</f>
        <v>75000</v>
      </c>
      <c r="F89" s="362"/>
      <c r="G89" s="362"/>
      <c r="H89" s="361">
        <f>'Sources and Uses Budget'!T89</f>
        <v>0</v>
      </c>
      <c r="I89" s="362"/>
      <c r="J89" s="362"/>
      <c r="K89" s="359"/>
    </row>
    <row r="90" spans="1:11" s="360" customFormat="1" ht="11.4">
      <c r="A90" s="145" t="s">
        <v>774</v>
      </c>
      <c r="B90" s="361">
        <f>'Sources and Uses Budget'!C90</f>
        <v>18500</v>
      </c>
      <c r="C90" s="362"/>
      <c r="D90" s="362"/>
      <c r="E90" s="361">
        <f>'Sources and Uses Budget'!S90</f>
        <v>18500</v>
      </c>
      <c r="F90" s="362"/>
      <c r="G90" s="362"/>
      <c r="H90" s="361">
        <f>'Sources and Uses Budget'!T90</f>
        <v>0</v>
      </c>
      <c r="I90" s="362"/>
      <c r="J90" s="362"/>
      <c r="K90" s="359"/>
    </row>
    <row r="91" spans="1:11" s="360" customFormat="1" ht="11.4">
      <c r="A91" s="155" t="s">
        <v>372</v>
      </c>
      <c r="B91" s="361">
        <f>'Sources and Uses Budget'!C91</f>
        <v>35000</v>
      </c>
      <c r="C91" s="362"/>
      <c r="D91" s="362"/>
      <c r="E91" s="361">
        <f>'Sources and Uses Budget'!S91</f>
        <v>35000</v>
      </c>
      <c r="F91" s="362"/>
      <c r="G91" s="362"/>
      <c r="H91" s="361">
        <f>'Sources and Uses Budget'!T91</f>
        <v>0</v>
      </c>
      <c r="I91" s="362"/>
      <c r="J91" s="362"/>
      <c r="K91" s="359"/>
    </row>
    <row r="92" spans="1:11" s="360" customFormat="1" ht="11.4">
      <c r="A92" s="508" t="s">
        <v>1212</v>
      </c>
      <c r="B92" s="361">
        <f>'Sources and Uses Budget'!C92</f>
        <v>11500</v>
      </c>
      <c r="C92" s="362"/>
      <c r="D92" s="362"/>
      <c r="E92" s="361">
        <f>'Sources and Uses Budget'!S92</f>
        <v>11500</v>
      </c>
      <c r="F92" s="362"/>
      <c r="G92" s="362"/>
      <c r="H92" s="361">
        <f>'Sources and Uses Budget'!T92</f>
        <v>0</v>
      </c>
      <c r="I92" s="362"/>
      <c r="J92" s="362"/>
      <c r="K92" s="359"/>
    </row>
    <row r="93" spans="1:11" s="360" customFormat="1" ht="11.4">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1726816</v>
      </c>
      <c r="C96" s="361">
        <f>SUM(C83:C95)</f>
        <v>0</v>
      </c>
      <c r="D96" s="361">
        <f>SUM(D83:D95)</f>
        <v>0</v>
      </c>
      <c r="E96" s="361">
        <f>'Sources and Uses Budget'!S96</f>
        <v>1595450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38901627</v>
      </c>
      <c r="C97" s="361">
        <f>SUM(C63+C70+C77+C81+C96)</f>
        <v>0</v>
      </c>
      <c r="D97" s="361">
        <f>SUM(D63+D70+D77+D81+D96)</f>
        <v>0</v>
      </c>
      <c r="E97" s="361">
        <f>'Sources and Uses Budget'!S97</f>
        <v>35915945</v>
      </c>
      <c r="F97" s="367">
        <f>SUM(+F63+F70+F81+F96)</f>
        <v>0</v>
      </c>
      <c r="G97" s="367">
        <f>SUM(+G63+G70+G81+G96)</f>
        <v>0</v>
      </c>
      <c r="H97" s="361">
        <f>'Sources and Uses Budget'!T97</f>
        <v>0</v>
      </c>
      <c r="I97" s="367">
        <f>SUM(I63+I70+I81+I96)</f>
        <v>0</v>
      </c>
      <c r="J97" s="367">
        <f>SUM(J63+J70+J81+J96)</f>
        <v>0</v>
      </c>
      <c r="K97" s="359"/>
    </row>
    <row r="98" spans="1:11" s="360" customFormat="1" ht="11.4">
      <c r="A98" s="357" t="s">
        <v>777</v>
      </c>
      <c r="B98" s="358"/>
      <c r="C98" s="358"/>
      <c r="D98" s="358"/>
      <c r="E98" s="358"/>
      <c r="F98" s="358"/>
      <c r="G98" s="358"/>
      <c r="H98" s="358"/>
      <c r="I98" s="358"/>
      <c r="J98" s="358"/>
      <c r="K98" s="359"/>
    </row>
    <row r="99" spans="1:11" s="360" customFormat="1" ht="11.4">
      <c r="A99" s="145" t="s">
        <v>778</v>
      </c>
      <c r="B99" s="361">
        <f>'Sources and Uses Budget'!C99</f>
        <v>5387392</v>
      </c>
      <c r="C99" s="362"/>
      <c r="D99" s="362"/>
      <c r="E99" s="361">
        <f>'Sources and Uses Budget'!S99</f>
        <v>5387392</v>
      </c>
      <c r="F99" s="362"/>
      <c r="G99" s="362"/>
      <c r="H99" s="361">
        <f>'Sources and Uses Budget'!T99</f>
        <v>0</v>
      </c>
      <c r="I99" s="362"/>
      <c r="J99" s="362"/>
      <c r="K99" s="359"/>
    </row>
    <row r="100" spans="1:11" s="360" customFormat="1" ht="11.4">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5387392</v>
      </c>
      <c r="C104" s="361">
        <f>SUM(C99:C103)</f>
        <v>0</v>
      </c>
      <c r="D104" s="361">
        <f>SUM(D99:D103)</f>
        <v>0</v>
      </c>
      <c r="E104" s="361">
        <f>'Sources and Uses Budget'!S104</f>
        <v>5387392</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44289019</v>
      </c>
      <c r="C105" s="367">
        <f>SUM(C97+C104)</f>
        <v>0</v>
      </c>
      <c r="D105" s="367">
        <f>SUM(D97+D104)</f>
        <v>0</v>
      </c>
      <c r="E105" s="361">
        <f>'Sources and Uses Budget'!S105</f>
        <v>41303337</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41303337</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69"/>
      <c r="E124" s="1312"/>
      <c r="F124" s="1312"/>
      <c r="G124" s="1312"/>
      <c r="H124" s="1312"/>
      <c r="I124" s="1312"/>
      <c r="J124" s="376"/>
      <c r="K124" s="359"/>
    </row>
    <row r="125" spans="1:11" s="360" customFormat="1" ht="13.2">
      <c r="A125" s="385"/>
      <c r="B125" s="384"/>
      <c r="C125" s="385"/>
      <c r="D125" s="1312"/>
      <c r="E125" s="1312"/>
      <c r="F125" s="1312"/>
      <c r="G125" s="1312"/>
      <c r="H125" s="1312"/>
      <c r="I125" s="1312"/>
      <c r="J125" s="376"/>
      <c r="K125" s="359"/>
    </row>
    <row r="126" spans="1:11" s="360" customFormat="1" ht="13.2">
      <c r="A126" s="385"/>
      <c r="B126" s="384"/>
      <c r="C126" s="385"/>
      <c r="D126" s="1312"/>
      <c r="E126" s="1312"/>
      <c r="F126" s="1312"/>
      <c r="G126" s="1312"/>
      <c r="H126" s="1312"/>
      <c r="I126" s="1312"/>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6640625" style="1187"/>
  </cols>
  <sheetData>
    <row r="1" spans="1:65" ht="15.75" customHeight="1">
      <c r="A1" s="1882" t="s">
        <v>2459</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2458</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4" t="str">
        <f>IF(Application!H18="","",Application!H18)</f>
        <v>136 River Apartments</v>
      </c>
      <c r="M4" s="1875"/>
      <c r="N4" s="1875"/>
      <c r="O4" s="1875"/>
      <c r="P4" s="1875"/>
      <c r="Q4" s="1875"/>
      <c r="R4" s="1875"/>
      <c r="S4" s="1875"/>
      <c r="T4" s="1875"/>
      <c r="U4" s="1875"/>
      <c r="V4" s="1875"/>
      <c r="W4" s="1875"/>
      <c r="X4" s="1875"/>
      <c r="Y4" s="1875"/>
      <c r="Z4" s="1875"/>
      <c r="AA4" s="1875"/>
      <c r="AB4" s="1875"/>
      <c r="AC4" s="1876"/>
      <c r="AD4" s="1190"/>
      <c r="AE4" s="1190"/>
      <c r="AF4" s="1888" t="s">
        <v>2457</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2456</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4" t="str">
        <f>IF(Application!H16="","",Application!H16)</f>
        <v>136 River Apartments Investors, L.P., a to be formed Limited Partnership</v>
      </c>
      <c r="M6" s="1875"/>
      <c r="N6" s="1875"/>
      <c r="O6" s="1875"/>
      <c r="P6" s="1875"/>
      <c r="Q6" s="1875"/>
      <c r="R6" s="1875"/>
      <c r="S6" s="1875"/>
      <c r="T6" s="1875"/>
      <c r="U6" s="1875"/>
      <c r="V6" s="1875"/>
      <c r="W6" s="1875"/>
      <c r="X6" s="1875"/>
      <c r="Y6" s="1875"/>
      <c r="Z6" s="1875"/>
      <c r="AA6" s="1875"/>
      <c r="AB6" s="1875"/>
      <c r="AC6" s="1876"/>
      <c r="AD6" s="1190"/>
      <c r="AE6" s="1190"/>
      <c r="AF6" s="1877" t="s">
        <v>2454</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2453</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ht="1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2451</v>
      </c>
      <c r="AG8" s="1877"/>
      <c r="AH8" s="1877"/>
      <c r="AI8" s="1877"/>
      <c r="AJ8" s="1877"/>
      <c r="AK8" s="1877"/>
      <c r="AL8" s="1877"/>
      <c r="AM8" s="1877"/>
      <c r="AN8" s="1877"/>
      <c r="AO8" s="1877"/>
      <c r="AP8" s="1878" t="s">
        <v>2100</v>
      </c>
      <c r="AQ8" s="1878"/>
      <c r="AR8" s="1878"/>
      <c r="AS8" s="1878"/>
      <c r="AT8" s="1878"/>
      <c r="AU8" s="1878"/>
      <c r="AV8" s="1190"/>
      <c r="AW8" s="1190"/>
      <c r="AX8" s="1190"/>
      <c r="AY8" s="1190"/>
      <c r="AZ8" s="1190"/>
      <c r="BA8" s="1190"/>
      <c r="BB8" s="1190"/>
      <c r="BC8" s="1190"/>
      <c r="BD8" s="1190"/>
      <c r="BE8" s="1191"/>
      <c r="BM8" s="1187" t="s">
        <v>1985</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2450</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2449</v>
      </c>
    </row>
    <row r="10" spans="1:65" ht="14.4">
      <c r="A10" s="1189"/>
      <c r="B10" s="1192" t="s">
        <v>2448</v>
      </c>
      <c r="C10" s="1192"/>
      <c r="D10" s="1192"/>
      <c r="E10" s="1192"/>
      <c r="F10" s="1192"/>
      <c r="G10" s="1192"/>
      <c r="H10" s="1192"/>
      <c r="I10" s="1192"/>
      <c r="J10" s="1192"/>
      <c r="K10" s="1192"/>
      <c r="L10" s="1192"/>
      <c r="M10" s="1190"/>
      <c r="N10" s="1903">
        <f>Application!AO627</f>
        <v>11500000</v>
      </c>
      <c r="O10" s="1903"/>
      <c r="P10" s="1903"/>
      <c r="Q10" s="1903"/>
      <c r="R10" s="1903"/>
      <c r="S10" s="1903"/>
      <c r="T10" s="1903"/>
      <c r="U10" s="1190"/>
      <c r="V10" s="1190"/>
      <c r="W10" s="1190"/>
      <c r="X10" s="1193"/>
      <c r="Y10" s="1193"/>
      <c r="Z10" s="1193"/>
      <c r="AA10" s="1193"/>
      <c r="AB10" s="1193"/>
      <c r="AC10" s="1193"/>
      <c r="AD10" s="1193"/>
      <c r="AE10" s="1193"/>
      <c r="AF10" s="1888" t="s">
        <v>2447</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2446</v>
      </c>
    </row>
    <row r="11" spans="1:65" ht="14.4">
      <c r="A11" s="1189"/>
      <c r="B11" s="1192" t="s">
        <v>2445</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2444</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2100</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ht="15" thickBot="1">
      <c r="A13" s="1190"/>
      <c r="B13" s="1891" t="s">
        <v>2442</v>
      </c>
      <c r="C13" s="1892"/>
      <c r="D13" s="1892"/>
      <c r="E13" s="1892"/>
      <c r="F13" s="1892"/>
      <c r="G13" s="1892"/>
      <c r="H13" s="1892"/>
      <c r="I13" s="1892"/>
      <c r="J13" s="1892"/>
      <c r="K13" s="1892"/>
      <c r="L13" s="1892"/>
      <c r="M13" s="1892"/>
      <c r="N13" s="1892"/>
      <c r="O13" s="1892"/>
      <c r="P13" s="1893"/>
      <c r="Q13" s="1894" t="s">
        <v>670</v>
      </c>
      <c r="R13" s="1895"/>
      <c r="S13" s="1895"/>
      <c r="T13" s="1896"/>
      <c r="U13" s="1193"/>
      <c r="V13" s="1190"/>
      <c r="W13" s="1190"/>
      <c r="X13" s="1190"/>
      <c r="Y13" s="1190"/>
      <c r="Z13" s="1190"/>
      <c r="AA13" s="1897" t="s">
        <v>2441</v>
      </c>
      <c r="AB13" s="1897"/>
      <c r="AC13" s="1897"/>
      <c r="AD13" s="1897"/>
      <c r="AE13" s="1897"/>
      <c r="AF13" s="1897"/>
      <c r="AG13" s="1897"/>
      <c r="AH13" s="1897"/>
      <c r="AI13" s="1897"/>
      <c r="AJ13" s="1897"/>
      <c r="AK13" s="1897"/>
      <c r="AL13" s="1897"/>
      <c r="AM13" s="1897"/>
      <c r="AN13" s="1897"/>
      <c r="AO13" s="1898">
        <f>Application!W473</f>
        <v>0</v>
      </c>
      <c r="AP13" s="1899"/>
      <c r="AQ13" s="1899"/>
      <c r="AR13" s="1899"/>
      <c r="AS13" s="1899"/>
      <c r="AT13" s="1193"/>
      <c r="AU13" s="1193"/>
      <c r="AV13" s="1193"/>
      <c r="AW13" s="1193"/>
      <c r="AX13" s="1193"/>
      <c r="AY13" s="1193"/>
      <c r="AZ13" s="1193"/>
      <c r="BA13" s="1193"/>
      <c r="BB13" s="1193"/>
      <c r="BC13" s="1193"/>
      <c r="BD13" s="1193"/>
      <c r="BE13" s="1194"/>
      <c r="BM13" s="1187" t="s">
        <v>2440</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2439</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ht="15" thickBot="1">
      <c r="A15" s="1190"/>
      <c r="B15" s="1904" t="s">
        <v>2438</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2437</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09" t="s">
        <v>2436</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2435</v>
      </c>
      <c r="C18" s="1913"/>
      <c r="D18" s="1913"/>
      <c r="E18" s="1913"/>
      <c r="F18" s="1913"/>
      <c r="G18" s="1913"/>
      <c r="H18" s="1913"/>
      <c r="I18" s="1914"/>
      <c r="J18" s="1915" t="s">
        <v>1587</v>
      </c>
      <c r="K18" s="1916"/>
      <c r="L18" s="1916"/>
      <c r="M18" s="1916"/>
      <c r="N18" s="1916"/>
      <c r="O18" s="1917"/>
      <c r="P18" s="1915" t="s">
        <v>324</v>
      </c>
      <c r="Q18" s="1916"/>
      <c r="R18" s="1916"/>
      <c r="S18" s="1916"/>
      <c r="T18" s="1916"/>
      <c r="U18" s="1917"/>
      <c r="V18" s="1915" t="s">
        <v>325</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2434</v>
      </c>
      <c r="AU18" s="1916"/>
      <c r="AV18" s="1916"/>
      <c r="AW18" s="1916"/>
      <c r="AX18" s="1916"/>
      <c r="AY18" s="1918"/>
      <c r="AZ18" s="1190"/>
      <c r="BA18" s="1190"/>
      <c r="BB18" s="1190"/>
      <c r="BC18" s="1190"/>
      <c r="BD18" s="1190"/>
      <c r="BE18" s="1194"/>
    </row>
    <row r="19" spans="1:58" ht="14.4">
      <c r="A19" s="1190"/>
      <c r="B19" s="1919">
        <v>0.3</v>
      </c>
      <c r="C19" s="1920"/>
      <c r="D19" s="1920"/>
      <c r="E19" s="1920"/>
      <c r="F19" s="1920"/>
      <c r="G19" s="1920"/>
      <c r="H19" s="1920"/>
      <c r="I19" s="1921"/>
      <c r="J19" s="1922">
        <f t="shared" ref="J19:J24" si="0">SUM(P19:AS19)</f>
        <v>13</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6</v>
      </c>
      <c r="W19" s="1923"/>
      <c r="X19" s="1923"/>
      <c r="Y19" s="1923"/>
      <c r="Z19" s="1923"/>
      <c r="AA19" s="1924"/>
      <c r="AB19" s="1922" cm="1">
        <f t="array" ref="AB19">SUMPRODUCT((Application!$B$714:$B$738 = 'CalHFA Addendum'!AB$18)*(Application!$AC$714:$AC$738 = 'CalHFA Addendum'!$B19),Application!$G$714:$G$738)</f>
        <v>4</v>
      </c>
      <c r="AC19" s="1923"/>
      <c r="AD19" s="1923"/>
      <c r="AE19" s="1923"/>
      <c r="AF19" s="1923"/>
      <c r="AG19" s="1924"/>
      <c r="AH19" s="1922" cm="1">
        <f t="array" ref="AH19">SUMPRODUCT((Application!$B$714:$B$738 = 'CalHFA Addendum'!AH$18)*(Application!$AC$714:$AC$738 = 'CalHFA Addendum'!$B19),Application!$G$714:$G$738)</f>
        <v>3</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0.26</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11</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6</v>
      </c>
      <c r="W20" s="1923"/>
      <c r="X20" s="1923"/>
      <c r="Y20" s="1923"/>
      <c r="Z20" s="1923"/>
      <c r="AA20" s="1924"/>
      <c r="AB20" s="1922" cm="1">
        <f t="array" ref="AB20">SUMPRODUCT((Application!$B$714:$B$738 = 'CalHFA Addendum'!AB$18)*(Application!$AC$714:$AC$738 = 'CalHFA Addendum'!$B20),Application!$G$714:$G$738)</f>
        <v>3</v>
      </c>
      <c r="AC20" s="1923"/>
      <c r="AD20" s="1923"/>
      <c r="AE20" s="1923"/>
      <c r="AF20" s="1923"/>
      <c r="AG20" s="1924"/>
      <c r="AH20" s="1922" cm="1">
        <f t="array" ref="AH20">SUMPRODUCT((Application!$B$714:$B$738 = 'CalHFA Addendum'!AH$18)*(Application!$AC$714:$AC$738 = 'CalHFA Addendum'!$B20),Application!$G$714:$G$738)</f>
        <v>2</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0.22</v>
      </c>
      <c r="AU20" s="1926"/>
      <c r="AV20" s="1926"/>
      <c r="AW20" s="1926"/>
      <c r="AX20" s="1926"/>
      <c r="AY20" s="1927"/>
      <c r="AZ20" s="1190"/>
      <c r="BA20" s="1190"/>
      <c r="BB20" s="1190"/>
      <c r="BC20" s="1190"/>
      <c r="BD20" s="1190"/>
      <c r="BE20" s="1194"/>
    </row>
    <row r="21" spans="1:58" ht="14.4">
      <c r="A21" s="1190"/>
      <c r="B21" s="1919">
        <v>0.5</v>
      </c>
      <c r="C21" s="1920"/>
      <c r="D21" s="1920"/>
      <c r="E21" s="1920"/>
      <c r="F21" s="1920"/>
      <c r="G21" s="1920"/>
      <c r="H21" s="1920"/>
      <c r="I21" s="1921"/>
      <c r="J21" s="1922">
        <f t="shared" si="0"/>
        <v>17</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6</v>
      </c>
      <c r="W21" s="1923"/>
      <c r="X21" s="1923"/>
      <c r="Y21" s="1923"/>
      <c r="Z21" s="1923"/>
      <c r="AA21" s="1924"/>
      <c r="AB21" s="1922" cm="1">
        <f t="array" ref="AB21">SUMPRODUCT((Application!$B$714:$B$738 = 'CalHFA Addendum'!AB$18)*(Application!$AC$714:$AC$738 = 'CalHFA Addendum'!$B21),Application!$G$714:$G$738)</f>
        <v>5</v>
      </c>
      <c r="AC21" s="1923"/>
      <c r="AD21" s="1923"/>
      <c r="AE21" s="1923"/>
      <c r="AF21" s="1923"/>
      <c r="AG21" s="1924"/>
      <c r="AH21" s="1922" cm="1">
        <f t="array" ref="AH21">SUMPRODUCT((Application!$B$714:$B$738 = 'CalHFA Addendum'!AH$18)*(Application!$AC$714:$AC$738 = 'CalHFA Addendum'!$B21),Application!$G$714:$G$738)</f>
        <v>6</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0.34</v>
      </c>
      <c r="AU21" s="1926"/>
      <c r="AV21" s="1926"/>
      <c r="AW21" s="1926"/>
      <c r="AX21" s="1926"/>
      <c r="AY21" s="1927"/>
      <c r="AZ21" s="1190"/>
      <c r="BA21" s="1190"/>
      <c r="BB21" s="1190"/>
      <c r="BC21" s="1190"/>
      <c r="BD21" s="1190"/>
      <c r="BE21" s="1194"/>
    </row>
    <row r="22" spans="1:58" ht="14.4">
      <c r="A22" s="1190"/>
      <c r="B22" s="1919">
        <v>0.6</v>
      </c>
      <c r="C22" s="1920"/>
      <c r="D22" s="1920"/>
      <c r="E22" s="1920"/>
      <c r="F22" s="1920"/>
      <c r="G22" s="1920"/>
      <c r="H22" s="1920"/>
      <c r="I22" s="1921"/>
      <c r="J22" s="1922">
        <f t="shared" si="0"/>
        <v>8</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4</v>
      </c>
      <c r="W22" s="1923"/>
      <c r="X22" s="1923"/>
      <c r="Y22" s="1923"/>
      <c r="Z22" s="1923"/>
      <c r="AA22" s="1924"/>
      <c r="AB22" s="1922" cm="1">
        <f t="array" ref="AB22">SUMPRODUCT((Application!$B$714:$B$738 = 'CalHFA Addendum'!AB$18)*(Application!$AC$714:$AC$738 = 'CalHFA Addendum'!$B22),Application!$G$714:$G$738)</f>
        <v>2</v>
      </c>
      <c r="AC22" s="1923"/>
      <c r="AD22" s="1923"/>
      <c r="AE22" s="1923"/>
      <c r="AF22" s="1923"/>
      <c r="AG22" s="1924"/>
      <c r="AH22" s="1922" cm="1">
        <f t="array" ref="AH22">SUMPRODUCT((Application!$B$714:$B$738 = 'CalHFA Addendum'!AH$18)*(Application!$AC$714:$AC$738 = 'CalHFA Addendum'!$B22),Application!$G$714:$G$738)</f>
        <v>2</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0.16</v>
      </c>
      <c r="AU22" s="1926"/>
      <c r="AV22" s="1926"/>
      <c r="AW22" s="1926"/>
      <c r="AX22" s="1926"/>
      <c r="AY22" s="1927"/>
      <c r="AZ22" s="1190"/>
      <c r="BA22" s="1190"/>
      <c r="BB22" s="1190"/>
      <c r="BC22" s="1190"/>
      <c r="BD22" s="1190"/>
      <c r="BE22" s="1194"/>
    </row>
    <row r="23" spans="1:58" ht="14.4">
      <c r="A23" s="1190"/>
      <c r="B23" s="1919">
        <v>0.7</v>
      </c>
      <c r="C23" s="1920"/>
      <c r="D23" s="1920"/>
      <c r="E23" s="1920"/>
      <c r="F23" s="1920"/>
      <c r="G23" s="1920"/>
      <c r="H23" s="1920"/>
      <c r="I23" s="1921"/>
      <c r="J23" s="1922">
        <f t="shared" si="0"/>
        <v>0</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0</v>
      </c>
      <c r="W23" s="1923"/>
      <c r="X23" s="1923"/>
      <c r="Y23" s="1923"/>
      <c r="Z23" s="1923"/>
      <c r="AA23" s="1924"/>
      <c r="AB23" s="1922" cm="1">
        <f t="array" ref="AB23">SUMPRODUCT((Application!$B$714:$B$738 = 'CalHFA Addendum'!AB$18)*(Application!$AC$714:$AC$738 = 'CalHFA Addendum'!$B23),Application!$G$714:$G$738)</f>
        <v>0</v>
      </c>
      <c r="AC23" s="1923"/>
      <c r="AD23" s="1923"/>
      <c r="AE23" s="1923"/>
      <c r="AF23" s="1923"/>
      <c r="AG23" s="1924"/>
      <c r="AH23" s="1922" cm="1">
        <f t="array" ref="AH23">SUMPRODUCT((Application!$B$714:$B$738 = 'CalHFA Addendum'!AH$18)*(Application!$AC$714:$AC$738 = 'CalHFA Addendum'!$B23),Application!$G$714:$G$738)</f>
        <v>0</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v>
      </c>
      <c r="AU23" s="1926"/>
      <c r="AV23" s="1926"/>
      <c r="AW23" s="1926"/>
      <c r="AX23" s="1926"/>
      <c r="AY23" s="1927"/>
      <c r="AZ23" s="1190"/>
      <c r="BA23" s="1190"/>
      <c r="BB23" s="1190"/>
      <c r="BC23" s="1190"/>
      <c r="BD23" s="1190"/>
      <c r="BE23" s="1194"/>
    </row>
    <row r="24" spans="1:58" ht="14.4">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4.4">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4.4">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4.4">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ht="15" thickBot="1">
      <c r="A28" s="1190"/>
      <c r="B28" s="1931" t="s">
        <v>2433</v>
      </c>
      <c r="C28" s="1932"/>
      <c r="D28" s="1932"/>
      <c r="E28" s="1932"/>
      <c r="F28" s="1932"/>
      <c r="G28" s="1932"/>
      <c r="H28" s="1932"/>
      <c r="I28" s="1933"/>
      <c r="J28" s="1934">
        <f>SUM(P28:AS28)</f>
        <v>1</v>
      </c>
      <c r="K28" s="1935"/>
      <c r="L28" s="1935"/>
      <c r="M28" s="1935"/>
      <c r="N28" s="1935"/>
      <c r="O28" s="1936"/>
      <c r="P28" s="1934">
        <f>_xlfn.IFNA(VLOOKUP(P$18,Application!$J$773:$S$776,6,FALSE), 0)</f>
        <v>0</v>
      </c>
      <c r="Q28" s="1935"/>
      <c r="R28" s="1935"/>
      <c r="S28" s="1935"/>
      <c r="T28" s="1935"/>
      <c r="U28" s="1936"/>
      <c r="V28" s="1934">
        <f>_xlfn.IFNA(VLOOKUP(V$18,Application!$J$773:$S$776,6,FALSE), 0)</f>
        <v>1</v>
      </c>
      <c r="W28" s="1935"/>
      <c r="X28" s="1935"/>
      <c r="Y28" s="1935"/>
      <c r="Z28" s="1935"/>
      <c r="AA28" s="1936"/>
      <c r="AB28" s="1934">
        <f>_xlfn.IFNA(VLOOKUP(AB$18,Application!$J$773:$S$776,6,FALSE), 0)</f>
        <v>0</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0.02</v>
      </c>
      <c r="AU28" s="1938"/>
      <c r="AV28" s="1938"/>
      <c r="AW28" s="1938"/>
      <c r="AX28" s="1938"/>
      <c r="AY28" s="1939"/>
      <c r="AZ28" s="1190"/>
      <c r="BA28" s="1190"/>
      <c r="BB28" s="1190"/>
      <c r="BC28" s="1190"/>
      <c r="BD28" s="1190"/>
      <c r="BE28" s="1194"/>
    </row>
    <row r="29" spans="1:58" ht="15" thickBot="1">
      <c r="A29" s="1190"/>
      <c r="B29" s="1968" t="s">
        <v>1587</v>
      </c>
      <c r="C29" s="1941"/>
      <c r="D29" s="1941"/>
      <c r="E29" s="1941"/>
      <c r="F29" s="1941"/>
      <c r="G29" s="1941"/>
      <c r="H29" s="1941"/>
      <c r="I29" s="1942"/>
      <c r="J29" s="1940">
        <f>SUM(J19:O28)</f>
        <v>50</v>
      </c>
      <c r="K29" s="1941"/>
      <c r="L29" s="1941"/>
      <c r="M29" s="1941"/>
      <c r="N29" s="1941"/>
      <c r="O29" s="1942"/>
      <c r="P29" s="1940">
        <f>SUM(P19:U28)</f>
        <v>0</v>
      </c>
      <c r="Q29" s="1941"/>
      <c r="R29" s="1941"/>
      <c r="S29" s="1941"/>
      <c r="T29" s="1941"/>
      <c r="U29" s="1942"/>
      <c r="V29" s="1940">
        <f>SUM(V19:AA28)</f>
        <v>23</v>
      </c>
      <c r="W29" s="1941"/>
      <c r="X29" s="1941"/>
      <c r="Y29" s="1941"/>
      <c r="Z29" s="1941"/>
      <c r="AA29" s="1942"/>
      <c r="AB29" s="1940">
        <f>SUM(AB19:AG28)</f>
        <v>14</v>
      </c>
      <c r="AC29" s="1941"/>
      <c r="AD29" s="1941"/>
      <c r="AE29" s="1941"/>
      <c r="AF29" s="1941"/>
      <c r="AG29" s="1942"/>
      <c r="AH29" s="1940">
        <f>SUM(AH19:AM28)</f>
        <v>13</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6" t="s">
        <v>2432</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ht="15" thickBot="1">
      <c r="A32" s="1190"/>
      <c r="B32" s="1949" t="s">
        <v>2431</v>
      </c>
      <c r="C32" s="1950"/>
      <c r="D32" s="1950"/>
      <c r="E32" s="1950"/>
      <c r="F32" s="1950"/>
      <c r="G32" s="1950"/>
      <c r="H32" s="1950"/>
      <c r="I32" s="1950"/>
      <c r="J32" s="1953" t="s">
        <v>2430</v>
      </c>
      <c r="K32" s="1954"/>
      <c r="L32" s="1954"/>
      <c r="M32" s="1954"/>
      <c r="N32" s="1953" t="s">
        <v>2429</v>
      </c>
      <c r="O32" s="1954"/>
      <c r="P32" s="1954"/>
      <c r="Q32" s="1956"/>
      <c r="R32" s="1958" t="s">
        <v>2428</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2427</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2426</v>
      </c>
      <c r="AT35" s="1970"/>
      <c r="AU35" s="1970"/>
      <c r="AV35" s="1970"/>
      <c r="AW35" s="1970"/>
      <c r="AX35" s="1978"/>
      <c r="AY35" s="1969" t="s">
        <v>2425</v>
      </c>
      <c r="AZ35" s="1970"/>
      <c r="BA35" s="1970"/>
      <c r="BB35" s="1970"/>
      <c r="BC35" s="1970"/>
      <c r="BD35" s="1971"/>
      <c r="BE35" s="1194"/>
    </row>
    <row r="36" spans="1:58" ht="15.75" customHeight="1">
      <c r="A36" s="1190"/>
      <c r="B36" s="1988" t="s">
        <v>2424</v>
      </c>
      <c r="C36" s="1989"/>
      <c r="D36" s="1989"/>
      <c r="E36" s="1989"/>
      <c r="F36" s="1989"/>
      <c r="G36" s="1989"/>
      <c r="H36" s="1989"/>
      <c r="I36" s="1989"/>
      <c r="J36" s="1990" t="s">
        <v>2423</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2422</v>
      </c>
      <c r="C37" s="1989"/>
      <c r="D37" s="1989"/>
      <c r="E37" s="1989"/>
      <c r="F37" s="1989"/>
      <c r="G37" s="1989"/>
      <c r="H37" s="1989"/>
      <c r="I37" s="1989"/>
      <c r="J37" s="1990" t="s">
        <v>2421</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2420</v>
      </c>
      <c r="C38" s="1989"/>
      <c r="D38" s="1989"/>
      <c r="E38" s="1989"/>
      <c r="F38" s="1989"/>
      <c r="G38" s="1989"/>
      <c r="H38" s="1989"/>
      <c r="I38" s="1989"/>
      <c r="J38" s="1990" t="s">
        <v>2419</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2418</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2418</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2417</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2417</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2416</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2415</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2414</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2338</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300</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2411</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2404</v>
      </c>
      <c r="C51" s="2008"/>
      <c r="D51" s="2008"/>
      <c r="E51" s="2008"/>
      <c r="F51" s="2008"/>
      <c r="G51" s="2008"/>
      <c r="H51" s="2008"/>
      <c r="I51" s="2008"/>
      <c r="J51" s="2008" t="s">
        <v>2410</v>
      </c>
      <c r="K51" s="2008"/>
      <c r="L51" s="2008"/>
      <c r="M51" s="2008"/>
      <c r="N51" s="2008"/>
      <c r="O51" s="2008"/>
      <c r="P51" s="2008"/>
      <c r="Q51" s="2008"/>
      <c r="R51" s="2009" t="s">
        <v>2409</v>
      </c>
      <c r="S51" s="2009"/>
      <c r="T51" s="2009"/>
      <c r="U51" s="2009"/>
      <c r="V51" s="2009"/>
      <c r="W51" s="2009"/>
      <c r="X51" s="2009"/>
      <c r="Y51" s="2009"/>
      <c r="Z51" s="2009" t="s">
        <v>2408</v>
      </c>
      <c r="AA51" s="2009"/>
      <c r="AB51" s="2009"/>
      <c r="AC51" s="2009"/>
      <c r="AD51" s="2009"/>
      <c r="AE51" s="2009"/>
      <c r="AF51" s="2009"/>
      <c r="AG51" s="2009"/>
      <c r="AH51" s="2009" t="s">
        <v>2407</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2406</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2405</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1587</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2404</v>
      </c>
      <c r="C59" s="2017"/>
      <c r="D59" s="2017"/>
      <c r="E59" s="2017"/>
      <c r="F59" s="2017"/>
      <c r="G59" s="2017"/>
      <c r="H59" s="2017"/>
      <c r="I59" s="2018"/>
      <c r="J59" s="1910" t="s">
        <v>2403</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2401</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2400</v>
      </c>
      <c r="AD68" s="2054"/>
      <c r="AE68" s="2054"/>
      <c r="AF68" s="2054"/>
      <c r="AG68" s="2054"/>
      <c r="AH68" s="2054"/>
      <c r="AI68" s="2054"/>
      <c r="AJ68" s="2054"/>
      <c r="AK68" s="2054"/>
      <c r="AL68" s="2054"/>
      <c r="AM68" s="2054"/>
      <c r="AN68" s="2054"/>
      <c r="AO68" s="2054"/>
      <c r="AP68" s="2054"/>
      <c r="AQ68" s="2054"/>
      <c r="AR68" s="2054"/>
      <c r="AS68" s="2054"/>
      <c r="AT68" s="2054"/>
      <c r="AU68" s="2054"/>
      <c r="AV68" s="2031" t="s">
        <v>670</v>
      </c>
      <c r="AW68" s="2032"/>
      <c r="AX68" s="2032"/>
      <c r="AY68" s="2032"/>
      <c r="AZ68" s="2032"/>
      <c r="BA68" s="2032"/>
      <c r="BB68" s="2032"/>
      <c r="BC68" s="2033"/>
      <c r="BD68" s="1190"/>
      <c r="BE68" s="1194"/>
      <c r="BM68" s="1199" t="s">
        <v>2399</v>
      </c>
    </row>
    <row r="69" spans="1:94" ht="15.75" customHeight="1" thickTop="1" thickBot="1">
      <c r="A69" s="1190"/>
      <c r="B69" s="2034" t="s">
        <v>2398</v>
      </c>
      <c r="C69" s="2035"/>
      <c r="D69" s="2035"/>
      <c r="E69" s="2035"/>
      <c r="F69" s="2035"/>
      <c r="G69" s="2035"/>
      <c r="H69" s="2035"/>
      <c r="I69" s="2035"/>
      <c r="J69" s="2035"/>
      <c r="K69" s="2035"/>
      <c r="L69" s="2035"/>
      <c r="M69" s="2035"/>
      <c r="N69" s="2035"/>
      <c r="O69" s="2036" t="s">
        <v>2397</v>
      </c>
      <c r="P69" s="2037"/>
      <c r="Q69" s="2037"/>
      <c r="R69" s="2037"/>
      <c r="S69" s="2037"/>
      <c r="T69" s="2037"/>
      <c r="U69" s="2037"/>
      <c r="V69" s="2037"/>
      <c r="W69" s="2037"/>
      <c r="X69" s="2037"/>
      <c r="Y69" s="2037"/>
      <c r="Z69" s="2037"/>
      <c r="AA69" s="2038"/>
      <c r="AB69" s="1190"/>
      <c r="AC69" s="2039" t="s">
        <v>2396</v>
      </c>
      <c r="AD69" s="2040"/>
      <c r="AE69" s="2040"/>
      <c r="AF69" s="2040"/>
      <c r="AG69" s="2040"/>
      <c r="AH69" s="2040"/>
      <c r="AI69" s="2040"/>
      <c r="AJ69" s="2040"/>
      <c r="AK69" s="2040"/>
      <c r="AL69" s="2040"/>
      <c r="AM69" s="2040"/>
      <c r="AN69" s="2040"/>
      <c r="AO69" s="2040"/>
      <c r="AP69" s="2040"/>
      <c r="AQ69" s="2040"/>
      <c r="AR69" s="2040"/>
      <c r="AS69" s="2040"/>
      <c r="AT69" s="2040"/>
      <c r="AU69" s="2040"/>
      <c r="AV69" s="2031" t="s">
        <v>670</v>
      </c>
      <c r="AW69" s="2032"/>
      <c r="AX69" s="2032"/>
      <c r="AY69" s="2032"/>
      <c r="AZ69" s="2032"/>
      <c r="BA69" s="2032"/>
      <c r="BB69" s="2032"/>
      <c r="BC69" s="2033"/>
      <c r="BD69" s="1190"/>
      <c r="BE69" s="1194"/>
      <c r="BM69" s="1200" t="s">
        <v>546</v>
      </c>
    </row>
    <row r="70" spans="1:94" ht="15.75" customHeight="1">
      <c r="A70" s="1190"/>
      <c r="B70" s="1988" t="s">
        <v>2395</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2394</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670</v>
      </c>
    </row>
    <row r="71" spans="1:94" ht="15.75" customHeight="1" thickBot="1">
      <c r="A71" s="1190"/>
      <c r="B71" s="1988" t="s">
        <v>2393</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2392</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2391</v>
      </c>
    </row>
    <row r="72" spans="1:94" ht="15.75" customHeight="1">
      <c r="A72" s="1190"/>
      <c r="B72" s="1988" t="s">
        <v>2390</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2389</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2388</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2333</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2386</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2385</v>
      </c>
      <c r="C81" s="2064"/>
      <c r="D81" s="2064"/>
      <c r="E81" s="2064"/>
      <c r="F81" s="2064"/>
      <c r="G81" s="2064"/>
      <c r="H81" s="2064"/>
      <c r="I81" s="2064"/>
      <c r="J81" s="2064"/>
      <c r="K81" s="2064"/>
      <c r="L81" s="2064"/>
      <c r="M81" s="2064"/>
      <c r="N81" s="2064"/>
      <c r="O81" s="2064"/>
      <c r="P81" s="2064"/>
      <c r="Q81" s="2064"/>
      <c r="R81" s="2065" t="s">
        <v>2190</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2384</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2383</v>
      </c>
      <c r="AK83" s="2087"/>
      <c r="AL83" s="2087"/>
      <c r="AM83" s="2087"/>
      <c r="AN83" s="2087"/>
      <c r="AO83" s="2087"/>
      <c r="AP83" s="2087"/>
      <c r="AQ83" s="2087"/>
      <c r="AR83" s="2087"/>
      <c r="AS83" s="2087"/>
      <c r="AT83" s="2087"/>
      <c r="AU83" s="2087"/>
      <c r="AV83" s="2087"/>
      <c r="AW83" s="2087"/>
      <c r="AX83" s="2087"/>
      <c r="AY83" s="2090" t="s">
        <v>546</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2373</v>
      </c>
      <c r="J84" s="2008"/>
      <c r="K84" s="2008"/>
      <c r="L84" s="2008"/>
      <c r="M84" s="2008"/>
      <c r="N84" s="2008"/>
      <c r="O84" s="2008" t="s">
        <v>2349</v>
      </c>
      <c r="P84" s="2008"/>
      <c r="Q84" s="2008"/>
      <c r="R84" s="2008"/>
      <c r="S84" s="2008"/>
      <c r="T84" s="2008"/>
      <c r="U84" s="2008"/>
      <c r="V84" s="2094" t="s">
        <v>2348</v>
      </c>
      <c r="W84" s="2094"/>
      <c r="X84" s="2094"/>
      <c r="Y84" s="2094"/>
      <c r="Z84" s="2094"/>
      <c r="AA84" s="2094"/>
      <c r="AB84" s="2095" t="s">
        <v>2372</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2371</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2370</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2377</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2369</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2381</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2380</v>
      </c>
      <c r="C94" s="2064"/>
      <c r="D94" s="2064"/>
      <c r="E94" s="2064"/>
      <c r="F94" s="2064"/>
      <c r="G94" s="2064"/>
      <c r="H94" s="2064"/>
      <c r="I94" s="2064"/>
      <c r="J94" s="2064"/>
      <c r="K94" s="2064"/>
      <c r="L94" s="2064"/>
      <c r="M94" s="2064"/>
      <c r="N94" s="2064"/>
      <c r="O94" s="2064"/>
      <c r="P94" s="2064"/>
      <c r="Q94" s="2098"/>
      <c r="R94" s="2065" t="s">
        <v>2190</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2379</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2378</v>
      </c>
      <c r="AK96" s="2087"/>
      <c r="AL96" s="2087"/>
      <c r="AM96" s="2087"/>
      <c r="AN96" s="2087"/>
      <c r="AO96" s="2087"/>
      <c r="AP96" s="2087"/>
      <c r="AQ96" s="2087"/>
      <c r="AR96" s="2087"/>
      <c r="AS96" s="2087"/>
      <c r="AT96" s="2087"/>
      <c r="AU96" s="2087"/>
      <c r="AV96" s="2087"/>
      <c r="AW96" s="2087"/>
      <c r="AX96" s="2087"/>
      <c r="AY96" s="2090" t="s">
        <v>546</v>
      </c>
      <c r="AZ96" s="2090"/>
      <c r="BA96" s="2090"/>
      <c r="BB96" s="2091"/>
      <c r="BC96" s="1190"/>
      <c r="BD96" s="1190"/>
      <c r="BE96" s="1194"/>
      <c r="BQ96" s="1256" t="str">
        <f>Application!M243&amp;IF(TRIM(Application!AA249)&lt;&gt;""," ("&amp;Application!AA249&amp;")","")</f>
        <v>136 River Partners, LLC</v>
      </c>
      <c r="BR96" s="1259">
        <f>Application!AH246</f>
        <v>51</v>
      </c>
      <c r="CM96" s="1188"/>
      <c r="CN96" s="1188"/>
      <c r="CO96" s="1188"/>
      <c r="CP96" s="1188"/>
    </row>
    <row r="97" spans="1:94" ht="15.75" customHeight="1">
      <c r="A97" s="1190"/>
      <c r="B97" s="2007"/>
      <c r="C97" s="2008"/>
      <c r="D97" s="2008"/>
      <c r="E97" s="2008"/>
      <c r="F97" s="2008"/>
      <c r="G97" s="2008"/>
      <c r="H97" s="2008"/>
      <c r="I97" s="2008" t="s">
        <v>2373</v>
      </c>
      <c r="J97" s="2008"/>
      <c r="K97" s="2008"/>
      <c r="L97" s="2008"/>
      <c r="M97" s="2008"/>
      <c r="N97" s="2008"/>
      <c r="O97" s="2008" t="s">
        <v>2349</v>
      </c>
      <c r="P97" s="2008"/>
      <c r="Q97" s="2008"/>
      <c r="R97" s="2008"/>
      <c r="S97" s="2008"/>
      <c r="T97" s="2008"/>
      <c r="U97" s="2008"/>
      <c r="V97" s="2094" t="s">
        <v>2348</v>
      </c>
      <c r="W97" s="2094"/>
      <c r="X97" s="2094"/>
      <c r="Y97" s="2094"/>
      <c r="Z97" s="2094"/>
      <c r="AA97" s="2094"/>
      <c r="AB97" s="2095" t="s">
        <v>2372</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PacH Lancaster Holdings, LLC (Pacific Housing, Inc. )</v>
      </c>
      <c r="BR97" s="1259">
        <f>Application!AH254</f>
        <v>49</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xml:space="preserve">Pacific Housing </v>
      </c>
      <c r="BR98" s="1259">
        <f>Application!AH262</f>
        <v>0</v>
      </c>
      <c r="CM98" s="1188"/>
      <c r="CN98" s="1188"/>
      <c r="CO98" s="1188"/>
      <c r="CP98" s="1188"/>
    </row>
    <row r="99" spans="1:94" ht="15.75" customHeight="1">
      <c r="A99" s="1190"/>
      <c r="B99" s="2007" t="s">
        <v>2371</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2370</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2377</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2369</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FPI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2374</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2373</v>
      </c>
      <c r="J108" s="2008"/>
      <c r="K108" s="2008"/>
      <c r="L108" s="2008"/>
      <c r="M108" s="2008"/>
      <c r="N108" s="2008"/>
      <c r="O108" s="2008" t="s">
        <v>2349</v>
      </c>
      <c r="P108" s="2008"/>
      <c r="Q108" s="2008"/>
      <c r="R108" s="2008"/>
      <c r="S108" s="2008"/>
      <c r="T108" s="2008"/>
      <c r="U108" s="2008"/>
      <c r="V108" s="2094" t="s">
        <v>2348</v>
      </c>
      <c r="W108" s="2094"/>
      <c r="X108" s="2094"/>
      <c r="Y108" s="2094"/>
      <c r="Z108" s="2094"/>
      <c r="AA108" s="2094"/>
      <c r="AB108" s="2095" t="s">
        <v>2372</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2371</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2370</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2369</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2367</v>
      </c>
      <c r="C117" s="2114"/>
      <c r="D117" s="2114"/>
      <c r="E117" s="2114"/>
      <c r="F117" s="2114"/>
      <c r="G117" s="2114"/>
      <c r="H117" s="2114"/>
      <c r="I117" s="2114"/>
      <c r="J117" s="2114"/>
      <c r="K117" s="2114"/>
      <c r="L117" s="2114"/>
      <c r="M117" s="2114"/>
      <c r="N117" s="2114"/>
      <c r="O117" s="2114"/>
      <c r="P117" s="2114"/>
      <c r="Q117" s="2114"/>
      <c r="R117" s="2114"/>
      <c r="S117" s="2114"/>
      <c r="T117" s="2114"/>
      <c r="U117" s="2117" t="s">
        <v>546</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2367</v>
      </c>
      <c r="C121" s="2122"/>
      <c r="D121" s="2122"/>
      <c r="E121" s="2122"/>
      <c r="F121" s="2122"/>
      <c r="G121" s="2122"/>
      <c r="H121" s="2122"/>
      <c r="I121" s="2122"/>
      <c r="J121" s="2122"/>
      <c r="K121" s="2122"/>
      <c r="L121" s="2122"/>
      <c r="M121" s="2122"/>
      <c r="N121" s="2122"/>
      <c r="O121" s="2122"/>
      <c r="P121" s="2122"/>
      <c r="Q121" s="2122"/>
      <c r="R121" s="2122"/>
      <c r="S121" s="2122"/>
      <c r="T121" s="2122"/>
      <c r="U121" s="2125" t="s">
        <v>546</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2365</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1577</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2364</v>
      </c>
      <c r="J127" s="2008"/>
      <c r="K127" s="2008"/>
      <c r="L127" s="2008"/>
      <c r="M127" s="2008"/>
      <c r="N127" s="2008"/>
      <c r="O127" s="2105" t="s">
        <v>2363</v>
      </c>
      <c r="P127" s="2105"/>
      <c r="Q127" s="2105"/>
      <c r="R127" s="2105"/>
      <c r="S127" s="2105"/>
      <c r="T127" s="2105"/>
      <c r="U127" s="2106"/>
      <c r="V127" s="1190"/>
      <c r="W127" s="1190"/>
      <c r="X127" s="2073" t="s">
        <v>2333</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2347</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2346</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2361</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2349</v>
      </c>
      <c r="J134" s="2151"/>
      <c r="K134" s="2151"/>
      <c r="L134" s="2151"/>
      <c r="M134" s="2151"/>
      <c r="N134" s="2151"/>
      <c r="O134" s="2151"/>
      <c r="P134" s="2151" t="s">
        <v>2348</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2347</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2346</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2360</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546</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2359</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2358</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546</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2357</v>
      </c>
      <c r="C142" s="2138"/>
      <c r="D142" s="2138"/>
      <c r="E142" s="2138"/>
      <c r="F142" s="2138"/>
      <c r="G142" s="2138"/>
      <c r="H142" s="2138"/>
      <c r="I142" s="2138"/>
      <c r="J142" s="2138"/>
      <c r="K142" s="2138"/>
      <c r="L142" s="2138"/>
      <c r="M142" s="2138"/>
      <c r="N142" s="2138"/>
      <c r="O142" s="2138"/>
      <c r="P142" s="2138"/>
      <c r="Q142" s="2138"/>
      <c r="R142" s="2139" t="s">
        <v>2356</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250</v>
      </c>
      <c r="BD142" s="1190"/>
      <c r="BE142" s="1194"/>
    </row>
    <row r="143" spans="1:57" ht="15.75" customHeight="1">
      <c r="A143" s="1190"/>
      <c r="B143" s="2141" t="s">
        <v>2355</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2352</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2351</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2349</v>
      </c>
      <c r="J157" s="2151"/>
      <c r="K157" s="2151"/>
      <c r="L157" s="2151"/>
      <c r="M157" s="2151"/>
      <c r="N157" s="2151"/>
      <c r="O157" s="2151"/>
      <c r="P157" s="2151" t="s">
        <v>2350</v>
      </c>
      <c r="Q157" s="2151"/>
      <c r="R157" s="2151"/>
      <c r="S157" s="2151"/>
      <c r="T157" s="2151"/>
      <c r="U157" s="2152"/>
      <c r="V157" s="1190"/>
      <c r="W157" s="1190"/>
      <c r="X157" s="2149"/>
      <c r="Y157" s="2150"/>
      <c r="Z157" s="2150"/>
      <c r="AA157" s="2150"/>
      <c r="AB157" s="2150"/>
      <c r="AC157" s="2150"/>
      <c r="AD157" s="2150"/>
      <c r="AE157" s="2151" t="s">
        <v>2349</v>
      </c>
      <c r="AF157" s="2151"/>
      <c r="AG157" s="2151"/>
      <c r="AH157" s="2151"/>
      <c r="AI157" s="2151"/>
      <c r="AJ157" s="2151"/>
      <c r="AK157" s="2151"/>
      <c r="AL157" s="2151" t="s">
        <v>2348</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2347</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2347</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2346</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2345</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2330</v>
      </c>
      <c r="D163" s="2150"/>
      <c r="E163" s="2150"/>
      <c r="F163" s="2150"/>
      <c r="G163" s="2150"/>
      <c r="H163" s="2150"/>
      <c r="I163" s="2150"/>
      <c r="J163" s="2150"/>
      <c r="K163" s="2150"/>
      <c r="L163" s="2150"/>
      <c r="M163" s="2150"/>
      <c r="N163" s="2150"/>
      <c r="O163" s="2150"/>
      <c r="P163" s="2150"/>
      <c r="Q163" s="2150" t="s">
        <v>2344</v>
      </c>
      <c r="R163" s="2150"/>
      <c r="S163" s="2150"/>
      <c r="T163" s="2095" t="s">
        <v>2343</v>
      </c>
      <c r="U163" s="2095"/>
      <c r="V163" s="2095"/>
      <c r="W163" s="2095"/>
      <c r="X163" s="2095"/>
      <c r="Y163" s="2095"/>
      <c r="Z163" s="2095"/>
      <c r="AA163" s="2095"/>
      <c r="AB163" s="2150" t="s">
        <v>2342</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2341</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2340</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2339</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2338</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170</v>
      </c>
      <c r="D168" s="2154"/>
      <c r="E168" s="2154"/>
      <c r="F168" s="2161" t="s">
        <v>2319</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170</v>
      </c>
      <c r="D169" s="2154"/>
      <c r="E169" s="2154"/>
      <c r="F169" s="2161" t="s">
        <v>2319</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170</v>
      </c>
      <c r="D170" s="2163"/>
      <c r="E170" s="2163"/>
      <c r="F170" s="2164" t="s">
        <v>2319</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2337</v>
      </c>
      <c r="D172" s="2054"/>
      <c r="E172" s="2054"/>
      <c r="F172" s="2054"/>
      <c r="G172" s="2054"/>
      <c r="H172" s="2054"/>
      <c r="I172" s="2054"/>
      <c r="J172" s="2054"/>
      <c r="K172" s="2054"/>
      <c r="L172" s="2054"/>
      <c r="M172" s="2054"/>
      <c r="N172" s="2104"/>
      <c r="O172" s="1190"/>
      <c r="P172" s="2169" t="s">
        <v>2336</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2335</v>
      </c>
      <c r="D173" s="2150"/>
      <c r="E173" s="2150"/>
      <c r="F173" s="2150"/>
      <c r="G173" s="2150"/>
      <c r="H173" s="2150"/>
      <c r="I173" s="2150" t="s">
        <v>2334</v>
      </c>
      <c r="J173" s="2150"/>
      <c r="K173" s="2150"/>
      <c r="L173" s="2150"/>
      <c r="M173" s="2150"/>
      <c r="N173" s="2158"/>
      <c r="O173" s="1190"/>
      <c r="P173" s="2073" t="s">
        <v>2333</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2332</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2330</v>
      </c>
      <c r="D184" s="2054"/>
      <c r="E184" s="2054"/>
      <c r="F184" s="2054"/>
      <c r="G184" s="2054"/>
      <c r="H184" s="2054"/>
      <c r="I184" s="2054"/>
      <c r="J184" s="2054"/>
      <c r="K184" s="2054"/>
      <c r="L184" s="2054"/>
      <c r="M184" s="2054"/>
      <c r="N184" s="2054" t="s">
        <v>2331</v>
      </c>
      <c r="O184" s="2054"/>
      <c r="P184" s="2054"/>
      <c r="Q184" s="2054"/>
      <c r="R184" s="2054"/>
      <c r="S184" s="2054"/>
      <c r="T184" s="2054"/>
      <c r="U184" s="2005" t="s">
        <v>2330</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2329</v>
      </c>
      <c r="D185" s="2178"/>
      <c r="E185" s="2178"/>
      <c r="F185" s="2178"/>
      <c r="G185" s="2178"/>
      <c r="H185" s="2178"/>
      <c r="I185" s="2178"/>
      <c r="J185" s="2178"/>
      <c r="K185" s="2178"/>
      <c r="L185" s="2178"/>
      <c r="M185" s="2178"/>
      <c r="N185" s="2179">
        <f>'Sources and Uses Budget'!B105</f>
        <v>44869243</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2328</v>
      </c>
      <c r="D186" s="2178"/>
      <c r="E186" s="2178"/>
      <c r="F186" s="2178"/>
      <c r="G186" s="2178"/>
      <c r="H186" s="2178"/>
      <c r="I186" s="2178"/>
      <c r="J186" s="2178"/>
      <c r="K186" s="2178"/>
      <c r="L186" s="2178"/>
      <c r="M186" s="2178"/>
      <c r="N186" s="2179">
        <f>N185/J29</f>
        <v>897384.86</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2327</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2326</v>
      </c>
      <c r="D188" s="2178"/>
      <c r="E188" s="2178"/>
      <c r="F188" s="2178"/>
      <c r="G188" s="2178"/>
      <c r="H188" s="2178"/>
      <c r="I188" s="2178"/>
      <c r="J188" s="2178"/>
      <c r="K188" s="2178"/>
      <c r="L188" s="2178"/>
      <c r="M188" s="2178"/>
      <c r="N188" s="2195">
        <f>SUM('Sources and Uses Budget'!B85:B86)</f>
        <v>1470000</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2325</v>
      </c>
      <c r="D189" s="2178"/>
      <c r="E189" s="2178"/>
      <c r="F189" s="2178"/>
      <c r="G189" s="2178"/>
      <c r="H189" s="2178"/>
      <c r="I189" s="2178"/>
      <c r="J189" s="2178"/>
      <c r="K189" s="2178"/>
      <c r="L189" s="2178"/>
      <c r="M189" s="2178"/>
      <c r="N189" s="2195">
        <f>'Sources and Uses Budget'!B8</f>
        <v>1825000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2323</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2324</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2323</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2322</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2321</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300</v>
      </c>
      <c r="D192" s="2155"/>
      <c r="E192" s="2208" t="s">
        <v>2319</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2320</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300</v>
      </c>
      <c r="D193" s="2011"/>
      <c r="E193" s="2208" t="s">
        <v>2319</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300</v>
      </c>
      <c r="D194" s="2234"/>
      <c r="E194" s="2235" t="s">
        <v>2319</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2318</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2317</v>
      </c>
      <c r="D195" s="2217"/>
      <c r="E195" s="2217"/>
      <c r="F195" s="2217"/>
      <c r="G195" s="2217"/>
      <c r="H195" s="2217"/>
      <c r="I195" s="2217"/>
      <c r="J195" s="2217"/>
      <c r="K195" s="2217"/>
      <c r="L195" s="2217"/>
      <c r="M195" s="2217"/>
      <c r="N195" s="2218">
        <f>SUM(N187:T194)</f>
        <v>3295000</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2316</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2315</v>
      </c>
      <c r="D196" s="2227"/>
      <c r="E196" s="2227"/>
      <c r="F196" s="2227"/>
      <c r="G196" s="2227"/>
      <c r="H196" s="2227"/>
      <c r="I196" s="2227"/>
      <c r="J196" s="2227"/>
      <c r="K196" s="2227"/>
      <c r="L196" s="2227"/>
      <c r="M196" s="2227"/>
      <c r="N196" s="2228">
        <f>(N185-N195)/J29</f>
        <v>831484.86</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2314</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2313</v>
      </c>
      <c r="D200" s="2253"/>
      <c r="E200" s="2253"/>
      <c r="F200" s="2253"/>
      <c r="G200" s="2253"/>
      <c r="H200" s="2253"/>
      <c r="I200" s="2253"/>
      <c r="J200" s="2253"/>
      <c r="K200" s="2253"/>
      <c r="L200" s="2253"/>
      <c r="M200" s="2253"/>
      <c r="N200" s="2253"/>
      <c r="O200" s="2254" t="s">
        <v>2312</v>
      </c>
      <c r="P200" s="2254"/>
      <c r="Q200" s="2254"/>
      <c r="R200" s="2254"/>
      <c r="S200" s="2254"/>
      <c r="T200" s="2254"/>
      <c r="U200" s="2254"/>
      <c r="V200" s="2254"/>
      <c r="W200" s="2254"/>
      <c r="X200" s="2254" t="s">
        <v>2311</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2310</v>
      </c>
      <c r="D201" s="2245"/>
      <c r="E201" s="2245"/>
      <c r="F201" s="2245"/>
      <c r="G201" s="2245"/>
      <c r="H201" s="2245"/>
      <c r="I201" s="2245"/>
      <c r="J201" s="2245"/>
      <c r="K201" s="2245"/>
      <c r="L201" s="2245"/>
      <c r="M201" s="2245"/>
      <c r="N201" s="2245"/>
      <c r="O201" s="2246" t="s">
        <v>2309</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855</v>
      </c>
      <c r="D202" s="2245"/>
      <c r="E202" s="2245"/>
      <c r="F202" s="2245"/>
      <c r="G202" s="2245"/>
      <c r="H202" s="2245"/>
      <c r="I202" s="2245"/>
      <c r="J202" s="2245"/>
      <c r="K202" s="2245"/>
      <c r="L202" s="2245"/>
      <c r="M202" s="2245"/>
      <c r="N202" s="2245"/>
      <c r="O202" s="2246" t="s">
        <v>2309</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2308</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2307</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2306</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2305</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2304</v>
      </c>
      <c r="D207" s="2260"/>
      <c r="E207" s="2260"/>
      <c r="F207" s="2261"/>
      <c r="G207" s="2265" t="s">
        <v>2303</v>
      </c>
      <c r="H207" s="2260"/>
      <c r="I207" s="2260"/>
      <c r="J207" s="2260"/>
      <c r="K207" s="2260"/>
      <c r="L207" s="2260"/>
      <c r="M207" s="2260"/>
      <c r="N207" s="2260"/>
      <c r="O207" s="2261"/>
      <c r="P207" s="2267" t="s">
        <v>2302</v>
      </c>
      <c r="Q207" s="2268"/>
      <c r="R207" s="2268"/>
      <c r="S207" s="2268"/>
      <c r="T207" s="2269"/>
      <c r="U207" s="2273" t="s">
        <v>2301</v>
      </c>
      <c r="V207" s="2274"/>
      <c r="W207" s="2274"/>
      <c r="X207" s="2275"/>
      <c r="Y207" s="2273" t="s">
        <v>2300</v>
      </c>
      <c r="Z207" s="2274"/>
      <c r="AA207" s="2274"/>
      <c r="AB207" s="2275"/>
      <c r="AC207" s="2273" t="s">
        <v>2299</v>
      </c>
      <c r="AD207" s="2274"/>
      <c r="AE207" s="2274"/>
      <c r="AF207" s="2275"/>
      <c r="AG207" s="2265" t="s">
        <v>2298</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1886</v>
      </c>
      <c r="H209" s="2286"/>
      <c r="I209" s="2286"/>
      <c r="J209" s="2286"/>
      <c r="K209" s="2286"/>
      <c r="L209" s="2286"/>
      <c r="M209" s="2286"/>
      <c r="N209" s="2286"/>
      <c r="O209" s="2286"/>
      <c r="P209" s="2287"/>
      <c r="Q209" s="2290"/>
      <c r="R209" s="2290"/>
      <c r="S209" s="2290"/>
      <c r="T209" s="2290"/>
      <c r="U209" s="2288" t="s">
        <v>1886</v>
      </c>
      <c r="V209" s="2288"/>
      <c r="W209" s="2288"/>
      <c r="X209" s="2288"/>
      <c r="Y209" s="2288" t="s">
        <v>1886</v>
      </c>
      <c r="Z209" s="2288"/>
      <c r="AA209" s="2288"/>
      <c r="AB209" s="2288"/>
      <c r="AC209" s="2289" t="s">
        <v>1886</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1886</v>
      </c>
      <c r="H210" s="2286"/>
      <c r="I210" s="2286"/>
      <c r="J210" s="2286"/>
      <c r="K210" s="2286"/>
      <c r="L210" s="2286"/>
      <c r="M210" s="2286"/>
      <c r="N210" s="2286"/>
      <c r="O210" s="2286"/>
      <c r="P210" s="2287"/>
      <c r="Q210" s="2287"/>
      <c r="R210" s="2287"/>
      <c r="S210" s="2287"/>
      <c r="T210" s="2287"/>
      <c r="U210" s="2288" t="s">
        <v>1886</v>
      </c>
      <c r="V210" s="2288"/>
      <c r="W210" s="2288"/>
      <c r="X210" s="2288"/>
      <c r="Y210" s="2288" t="s">
        <v>1886</v>
      </c>
      <c r="Z210" s="2288"/>
      <c r="AA210" s="2288"/>
      <c r="AB210" s="2288"/>
      <c r="AC210" s="2289" t="s">
        <v>1886</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1886</v>
      </c>
      <c r="H211" s="2286"/>
      <c r="I211" s="2286"/>
      <c r="J211" s="2286"/>
      <c r="K211" s="2286"/>
      <c r="L211" s="2286"/>
      <c r="M211" s="2286"/>
      <c r="N211" s="2286"/>
      <c r="O211" s="2286"/>
      <c r="P211" s="2287"/>
      <c r="Q211" s="2287"/>
      <c r="R211" s="2287"/>
      <c r="S211" s="2287"/>
      <c r="T211" s="2287"/>
      <c r="U211" s="2288" t="s">
        <v>1886</v>
      </c>
      <c r="V211" s="2288"/>
      <c r="W211" s="2288"/>
      <c r="X211" s="2288"/>
      <c r="Y211" s="2288" t="s">
        <v>1886</v>
      </c>
      <c r="Z211" s="2288"/>
      <c r="AA211" s="2288"/>
      <c r="AB211" s="2288"/>
      <c r="AC211" s="2289" t="s">
        <v>1886</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1886</v>
      </c>
      <c r="H212" s="2286"/>
      <c r="I212" s="2286"/>
      <c r="J212" s="2286"/>
      <c r="K212" s="2286"/>
      <c r="L212" s="2286"/>
      <c r="M212" s="2286"/>
      <c r="N212" s="2286"/>
      <c r="O212" s="2286"/>
      <c r="P212" s="2287"/>
      <c r="Q212" s="2287"/>
      <c r="R212" s="2287"/>
      <c r="S212" s="2287"/>
      <c r="T212" s="2287"/>
      <c r="U212" s="2288" t="s">
        <v>1886</v>
      </c>
      <c r="V212" s="2288"/>
      <c r="W212" s="2288"/>
      <c r="X212" s="2288"/>
      <c r="Y212" s="2288" t="s">
        <v>1886</v>
      </c>
      <c r="Z212" s="2288"/>
      <c r="AA212" s="2288"/>
      <c r="AB212" s="2288"/>
      <c r="AC212" s="2289" t="s">
        <v>1886</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1886</v>
      </c>
      <c r="H213" s="2286"/>
      <c r="I213" s="2286"/>
      <c r="J213" s="2286"/>
      <c r="K213" s="2286"/>
      <c r="L213" s="2286"/>
      <c r="M213" s="2286"/>
      <c r="N213" s="2286"/>
      <c r="O213" s="2286"/>
      <c r="P213" s="2287"/>
      <c r="Q213" s="2287"/>
      <c r="R213" s="2287"/>
      <c r="S213" s="2287"/>
      <c r="T213" s="2287"/>
      <c r="U213" s="2288" t="s">
        <v>1886</v>
      </c>
      <c r="V213" s="2288"/>
      <c r="W213" s="2288"/>
      <c r="X213" s="2288"/>
      <c r="Y213" s="2288" t="s">
        <v>1886</v>
      </c>
      <c r="Z213" s="2288"/>
      <c r="AA213" s="2288"/>
      <c r="AB213" s="2288"/>
      <c r="AC213" s="2289" t="s">
        <v>1886</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1886</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1886</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1886</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2297</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2295</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2294</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2293</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2292</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2290</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2289</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2288</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2287</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2286</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442</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2285</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2284</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0" workbookViewId="0">
      <selection activeCell="AB73" sqref="AB73"/>
    </sheetView>
  </sheetViews>
  <sheetFormatPr defaultColWidth="0" defaultRowHeight="12.9" customHeight="1"/>
  <cols>
    <col min="1" max="1" width="1.5546875" style="402" customWidth="1"/>
    <col min="2" max="2" width="0.88671875" style="402" customWidth="1"/>
    <col min="3" max="18" width="2.5546875" style="402" customWidth="1"/>
    <col min="19" max="19" width="6.33203125" style="402" customWidth="1"/>
    <col min="20" max="39" width="2.664062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56" t="s">
        <v>1281</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2.9"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319</v>
      </c>
      <c r="C5" s="404" t="s">
        <v>122</v>
      </c>
      <c r="F5" s="404"/>
    </row>
    <row r="6" spans="1:40" ht="12.9" customHeight="1">
      <c r="A6" s="404"/>
      <c r="C6" s="402" t="s">
        <v>1239</v>
      </c>
    </row>
    <row r="7" spans="1:40" ht="12.9"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 customHeight="1">
      <c r="B11" s="2337" t="s">
        <v>375</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41303337</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2.9" customHeight="1">
      <c r="B12" s="2352" t="s">
        <v>498</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2.9" customHeight="1">
      <c r="B13" s="435"/>
      <c r="C13" s="2354" t="s">
        <v>499</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2.9" customHeight="1">
      <c r="B14" s="435"/>
      <c r="C14" s="2354" t="s">
        <v>500</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2.9" customHeight="1">
      <c r="B15" s="435"/>
      <c r="C15" s="2354" t="s">
        <v>501</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2.9" customHeight="1">
      <c r="B16" s="435"/>
      <c r="C16" s="2354" t="s">
        <v>806</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2.9" customHeight="1">
      <c r="B17" s="435"/>
      <c r="C17" s="2354" t="s">
        <v>502</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2.9" customHeight="1">
      <c r="A18"/>
      <c r="B18" s="1150"/>
      <c r="C18" s="1810" t="s">
        <v>961</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2.9" customHeight="1">
      <c r="B19" s="1150"/>
      <c r="C19" s="1810" t="s">
        <v>961</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2.9" customHeight="1">
      <c r="B20" s="2337" t="s">
        <v>503</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2.9" customHeight="1">
      <c r="B21" s="2337" t="s">
        <v>1264</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2.9" customHeight="1">
      <c r="B22" s="2337" t="s">
        <v>504</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 customHeight="1">
      <c r="B23" s="2337" t="s">
        <v>505</v>
      </c>
      <c r="C23" s="2338"/>
      <c r="D23" s="2338"/>
      <c r="E23" s="2338"/>
      <c r="F23" s="2338"/>
      <c r="G23" s="2338"/>
      <c r="H23" s="2338"/>
      <c r="I23" s="2338"/>
      <c r="J23" s="2338"/>
      <c r="K23" s="2338"/>
      <c r="L23" s="2338"/>
      <c r="M23" s="2338"/>
      <c r="N23" s="2338"/>
      <c r="O23" s="2338"/>
      <c r="P23" s="2338"/>
      <c r="Q23" s="2338"/>
      <c r="R23" s="2338"/>
      <c r="S23" s="2339"/>
      <c r="T23" s="2330">
        <f>T11+T22</f>
        <v>41303337</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2.9" customHeight="1">
      <c r="B24" s="2337" t="s">
        <v>962</v>
      </c>
      <c r="C24" s="2338"/>
      <c r="D24" s="2338"/>
      <c r="E24" s="2338"/>
      <c r="F24" s="2338"/>
      <c r="G24" s="2338"/>
      <c r="H24" s="2338"/>
      <c r="I24" s="2338"/>
      <c r="J24" s="2338"/>
      <c r="K24" s="2338"/>
      <c r="L24" s="2338"/>
      <c r="M24" s="2338"/>
      <c r="N24" s="2338"/>
      <c r="O24" s="2338"/>
      <c r="P24" s="2338"/>
      <c r="Q24" s="2338"/>
      <c r="R24" s="2338"/>
      <c r="S24" s="2339"/>
      <c r="T24" s="2332">
        <f>Application!AJ1053</f>
        <v>70834838.340000004</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2.9" customHeight="1">
      <c r="B25" s="2341" t="s">
        <v>1265</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 customHeight="1">
      <c r="B26" s="2337" t="s">
        <v>506</v>
      </c>
      <c r="C26" s="2338"/>
      <c r="D26" s="2338"/>
      <c r="E26" s="2338"/>
      <c r="F26" s="2338"/>
      <c r="G26" s="2338"/>
      <c r="H26" s="2338"/>
      <c r="I26" s="2338"/>
      <c r="J26" s="2338"/>
      <c r="K26" s="2338"/>
      <c r="L26" s="2338"/>
      <c r="M26" s="2338"/>
      <c r="N26" s="2338"/>
      <c r="O26" s="2338"/>
      <c r="P26" s="2338"/>
      <c r="Q26" s="2338"/>
      <c r="R26" s="2338"/>
      <c r="S26" s="2339"/>
      <c r="T26" s="2330">
        <f>T23*T25</f>
        <v>53694338.100000001</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2.9" customHeight="1">
      <c r="A27" s="410"/>
      <c r="B27" s="2344" t="s">
        <v>426</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2.9" customHeight="1">
      <c r="A28" s="404"/>
      <c r="B28" s="2337" t="s">
        <v>507</v>
      </c>
      <c r="C28" s="2338"/>
      <c r="D28" s="2338"/>
      <c r="E28" s="2338"/>
      <c r="F28" s="2338"/>
      <c r="G28" s="2338"/>
      <c r="H28" s="2338"/>
      <c r="I28" s="2338"/>
      <c r="J28" s="2338"/>
      <c r="K28" s="2338"/>
      <c r="L28" s="2338"/>
      <c r="M28" s="2338"/>
      <c r="N28" s="2338"/>
      <c r="O28" s="2338"/>
      <c r="P28" s="2338"/>
      <c r="Q28" s="2338"/>
      <c r="R28" s="2338"/>
      <c r="S28" s="2339"/>
      <c r="T28" s="2330">
        <f>IF(ISERROR((T26*T27)),0,(T26*T27))</f>
        <v>53694338.100000001</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2.9" customHeight="1">
      <c r="B29" s="2337" t="s">
        <v>524</v>
      </c>
      <c r="C29" s="2338"/>
      <c r="D29" s="2338"/>
      <c r="E29" s="2338"/>
      <c r="F29" s="2338"/>
      <c r="G29" s="2338"/>
      <c r="H29" s="2338"/>
      <c r="I29" s="2338"/>
      <c r="J29" s="2338"/>
      <c r="K29" s="2338"/>
      <c r="L29" s="2338"/>
      <c r="M29" s="2338"/>
      <c r="N29" s="2338"/>
      <c r="O29" s="2338"/>
      <c r="P29" s="2338"/>
      <c r="Q29" s="2338"/>
      <c r="R29" s="2338"/>
      <c r="S29" s="2339"/>
      <c r="T29" s="2332">
        <f>T28+Y28+AD28+AI28</f>
        <v>53694338.100000001</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2.9" customHeight="1">
      <c r="B30" s="2340" t="s">
        <v>1267</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2.9" customHeight="1">
      <c r="B31" s="2340" t="s">
        <v>1266</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2.9"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577</v>
      </c>
      <c r="C34" s="404" t="s">
        <v>569</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1155</v>
      </c>
      <c r="Z35" s="2358"/>
      <c r="AA35" s="2358"/>
      <c r="AB35" s="2358"/>
      <c r="AC35" s="2358"/>
      <c r="AD35" s="2378" t="s">
        <v>369</v>
      </c>
      <c r="AE35" s="2378"/>
      <c r="AF35" s="2378"/>
      <c r="AG35" s="2378"/>
      <c r="AH35" s="2378"/>
    </row>
    <row r="36" spans="1:76" ht="12.9" customHeight="1">
      <c r="B36" s="407"/>
      <c r="X36" s="412"/>
      <c r="Y36" s="2358"/>
      <c r="Z36" s="2358"/>
      <c r="AA36" s="2358"/>
      <c r="AB36" s="2358"/>
      <c r="AC36" s="2358"/>
      <c r="AD36" s="2378"/>
      <c r="AE36" s="2378"/>
      <c r="AF36" s="2378"/>
      <c r="AG36" s="2378"/>
      <c r="AH36" s="2378"/>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2.9" customHeight="1">
      <c r="A38" s="404"/>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53694338.100000001</v>
      </c>
      <c r="Z38" s="2331"/>
      <c r="AA38" s="2331"/>
      <c r="AB38" s="2331"/>
      <c r="AC38" s="2331"/>
      <c r="AD38" s="2331">
        <f>IF(T24&gt;=(T23+Y23+AD23+AI23),AD28+AI28,0)</f>
        <v>0</v>
      </c>
      <c r="AE38" s="2331"/>
      <c r="AF38" s="2331"/>
      <c r="AG38" s="2331"/>
      <c r="AH38" s="2331"/>
    </row>
    <row r="39" spans="1:76" ht="12.9" customHeight="1">
      <c r="B39" s="2337" t="s">
        <v>1692</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2.9" customHeight="1">
      <c r="A40" s="404"/>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2147774</v>
      </c>
      <c r="Z40" s="2331"/>
      <c r="AA40" s="2331"/>
      <c r="AB40" s="2331"/>
      <c r="AC40" s="2331"/>
      <c r="AD40" s="2330">
        <f>ROUND(AD38*AD39,0)</f>
        <v>0</v>
      </c>
      <c r="AE40" s="2331"/>
      <c r="AF40" s="2331"/>
      <c r="AG40" s="2331"/>
      <c r="AH40" s="2331"/>
    </row>
    <row r="41" spans="1:76" ht="12.9"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2147774</v>
      </c>
      <c r="Z41" s="2333"/>
      <c r="AA41" s="2333"/>
      <c r="AB41" s="2333"/>
      <c r="AC41" s="2333"/>
      <c r="AD41" s="2333"/>
      <c r="AE41" s="2333"/>
      <c r="AF41" s="2333"/>
      <c r="AG41" s="2333"/>
      <c r="AH41" s="2330"/>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35" t="s">
        <v>1277</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2.9" customHeight="1" thickTop="1"/>
    <row r="46" spans="1:76" ht="12.9" customHeight="1">
      <c r="A46" s="404" t="s">
        <v>587</v>
      </c>
      <c r="C46" s="404" t="s">
        <v>282</v>
      </c>
    </row>
    <row r="47" spans="1:76" ht="12.9" customHeight="1">
      <c r="D47" s="404" t="s">
        <v>283</v>
      </c>
      <c r="AB47" s="2347">
        <f>'Sources and Uses Budget'!B105-MAX(IF('Sources and Uses Budget'!B15="",0,'Sources and Uses Budget'!B15),IF(Application!AG394="",0,Application!AG394))</f>
        <v>44869243</v>
      </c>
      <c r="AC47" s="2348"/>
      <c r="AD47" s="2348"/>
      <c r="AE47" s="2348"/>
      <c r="AF47" s="2349"/>
    </row>
    <row r="48" spans="1:76" ht="12.9" customHeight="1">
      <c r="D48" s="404" t="s">
        <v>21</v>
      </c>
      <c r="AB48" s="2347">
        <f>Application!AO639-MAX(IF('Sources and Uses Budget'!B15="",0,'Sources and Uses Budget'!B15),IF(Application!AG394="",0,Application!AG394))</f>
        <v>18093419</v>
      </c>
      <c r="AC48" s="2348"/>
      <c r="AD48" s="2348"/>
      <c r="AE48" s="2348"/>
      <c r="AF48" s="2349"/>
    </row>
    <row r="49" spans="1:76" ht="12.9" customHeight="1">
      <c r="D49" s="404" t="s">
        <v>91</v>
      </c>
      <c r="AB49" s="2347">
        <f>AB47-AB48</f>
        <v>26775824</v>
      </c>
      <c r="AC49" s="2348"/>
      <c r="AD49" s="2348"/>
      <c r="AE49" s="2348"/>
      <c r="AF49" s="2349"/>
    </row>
    <row r="50" spans="1:76" ht="12.9" customHeight="1">
      <c r="D50" s="404" t="s">
        <v>682</v>
      </c>
      <c r="AA50" s="415"/>
      <c r="AB50" s="2374">
        <v>0.86775000000000002</v>
      </c>
      <c r="AC50" s="2375"/>
      <c r="AD50" s="2375"/>
      <c r="AE50" s="2375"/>
      <c r="AF50" s="2376"/>
    </row>
    <row r="51" spans="1:76" s="417" customFormat="1" ht="12.9" customHeight="1">
      <c r="A51" s="402"/>
      <c r="B51" s="402"/>
      <c r="C51" s="402"/>
      <c r="D51" s="402"/>
      <c r="E51" s="2377" t="s">
        <v>1851</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332</v>
      </c>
      <c r="AB54" s="2347">
        <f>ROUND(IF(ISERROR((AB49/AB50)),0,(AB49/AB50)),0)</f>
        <v>30856611</v>
      </c>
      <c r="AC54" s="2348"/>
      <c r="AD54" s="2348"/>
      <c r="AE54" s="2348"/>
      <c r="AF54" s="2349"/>
    </row>
    <row r="55" spans="1:76" ht="12.9" customHeight="1">
      <c r="D55" s="404" t="s">
        <v>333</v>
      </c>
      <c r="AB55" s="2347">
        <f>(AB54/10)</f>
        <v>3085661.1</v>
      </c>
      <c r="AC55" s="2348"/>
      <c r="AD55" s="2348"/>
      <c r="AE55" s="2348"/>
      <c r="AF55" s="2349"/>
    </row>
    <row r="56" spans="1:76" ht="12.9" customHeight="1">
      <c r="D56" s="404" t="s">
        <v>757</v>
      </c>
      <c r="AB56" s="2347">
        <f>ROUND((IF((Y41&lt;AB55),Y41,AB55)),0)</f>
        <v>2147774</v>
      </c>
      <c r="AC56" s="2348"/>
      <c r="AD56" s="2348"/>
      <c r="AE56" s="2348"/>
      <c r="AF56" s="2349"/>
    </row>
    <row r="57" spans="1:76" ht="12.9" customHeight="1">
      <c r="D57" s="404" t="s">
        <v>756</v>
      </c>
      <c r="AB57" s="2347">
        <f>ROUND((10*AB56*AB50),0)</f>
        <v>18637309</v>
      </c>
      <c r="AC57" s="2348"/>
      <c r="AD57" s="2348"/>
      <c r="AE57" s="2348"/>
      <c r="AF57" s="2349"/>
    </row>
    <row r="58" spans="1:76" ht="12.9" customHeight="1">
      <c r="D58" s="404"/>
      <c r="AB58" s="423"/>
      <c r="AC58" s="423"/>
      <c r="AD58" s="423"/>
      <c r="AE58" s="423"/>
      <c r="AF58" s="423"/>
    </row>
    <row r="59" spans="1:76" ht="12.9" customHeight="1">
      <c r="D59" s="404" t="s">
        <v>755</v>
      </c>
      <c r="AB59" s="2370">
        <f>AB49-AB57</f>
        <v>8138515</v>
      </c>
      <c r="AC59" s="2370"/>
      <c r="AD59" s="2370"/>
      <c r="AE59" s="2370"/>
      <c r="AF59" s="2370"/>
    </row>
    <row r="60" spans="1:76" ht="12.9" customHeight="1">
      <c r="D60" s="404"/>
      <c r="AB60" s="423"/>
      <c r="AC60" s="423"/>
      <c r="AD60" s="423"/>
      <c r="AE60" s="423"/>
      <c r="AF60" s="423"/>
    </row>
    <row r="61" spans="1:76" s="204" customFormat="1" ht="12.9"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2.9" customHeight="1" thickTop="1"/>
    <row r="63" spans="1:76" ht="12.9" customHeight="1">
      <c r="A63" s="404" t="s">
        <v>590</v>
      </c>
      <c r="C63" s="205" t="s">
        <v>1249</v>
      </c>
      <c r="Y63" s="2371" t="s">
        <v>985</v>
      </c>
      <c r="Z63" s="2371"/>
      <c r="AA63" s="2371"/>
      <c r="AB63" s="2371"/>
      <c r="AC63" s="2371"/>
      <c r="AD63" s="2371" t="s">
        <v>369</v>
      </c>
      <c r="AE63" s="2371"/>
      <c r="AF63" s="2371"/>
      <c r="AG63" s="2371"/>
      <c r="AH63" s="2371"/>
    </row>
    <row r="64" spans="1:76" ht="12.9"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41303337</v>
      </c>
      <c r="Z64" s="2372"/>
      <c r="AA64" s="2372"/>
      <c r="AB64" s="2372"/>
      <c r="AC64" s="2373"/>
      <c r="AD64" s="2332">
        <f>IF(AND(OR(Application!D211="At-Risk",Application!D211="At-Risk and Special Needs"),Application!M358="yes"),AD28+AI28,0)</f>
        <v>0</v>
      </c>
      <c r="AE64" s="2372"/>
      <c r="AF64" s="2372"/>
      <c r="AG64" s="2372"/>
      <c r="AH64" s="2373"/>
    </row>
    <row r="65" spans="1:36" ht="12.9"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0.3</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2.9" customHeight="1">
      <c r="C68" s="404"/>
      <c r="D68" s="205" t="s">
        <v>2227</v>
      </c>
      <c r="Y68" s="2331">
        <f>ROUND(Y64*Y67,0)</f>
        <v>12391001</v>
      </c>
      <c r="Z68" s="2386"/>
      <c r="AA68" s="2386"/>
      <c r="AB68" s="2386"/>
      <c r="AC68" s="2386"/>
      <c r="AD68" s="2331">
        <f>ROUND(AD64*AD67,0)</f>
        <v>0</v>
      </c>
      <c r="AE68" s="2386"/>
      <c r="AF68" s="2386"/>
      <c r="AG68" s="2386"/>
      <c r="AH68" s="2386"/>
    </row>
    <row r="69" spans="1:36" ht="12.9" customHeight="1">
      <c r="C69" s="404"/>
      <c r="D69" s="205" t="s">
        <v>2228</v>
      </c>
      <c r="Y69" s="2331">
        <f>IF(OR(Application!Z205="State Farmworker Credit",Application!Z205="$500M (Farmworker Housing)"),Y68+AD68,MIN(Y68+AD68,200000*(Application!G753+Application!O777)))</f>
        <v>10000000</v>
      </c>
      <c r="Z69" s="2331"/>
      <c r="AA69" s="2331"/>
      <c r="AB69" s="2331"/>
      <c r="AC69" s="2331"/>
      <c r="AD69" s="2331"/>
      <c r="AE69" s="2331"/>
      <c r="AF69" s="2331"/>
      <c r="AG69" s="2331"/>
      <c r="AH69" s="2331"/>
    </row>
    <row r="70" spans="1:36" ht="12.9" customHeight="1">
      <c r="C70" s="404"/>
      <c r="E70" s="404"/>
      <c r="AB70" s="422"/>
      <c r="AC70" s="422"/>
      <c r="AD70" s="422"/>
      <c r="AE70" s="422"/>
      <c r="AF70" s="422"/>
    </row>
    <row r="71" spans="1:36" ht="12.9" customHeight="1">
      <c r="A71" s="404" t="s">
        <v>591</v>
      </c>
      <c r="C71" s="205" t="s">
        <v>284</v>
      </c>
    </row>
    <row r="72" spans="1:36" ht="12.9" customHeight="1">
      <c r="A72" s="404"/>
      <c r="C72" s="404"/>
      <c r="D72" s="205" t="s">
        <v>1251</v>
      </c>
      <c r="AB72" s="2374">
        <v>0.81393000000000004</v>
      </c>
      <c r="AC72" s="2375"/>
      <c r="AD72" s="2375"/>
      <c r="AE72" s="2375"/>
      <c r="AF72" s="2376"/>
    </row>
    <row r="73" spans="1:36" ht="12.9" customHeight="1">
      <c r="A73" s="404"/>
      <c r="C73" s="404"/>
      <c r="D73" s="404"/>
      <c r="E73" s="2387" t="s">
        <v>1252</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2.9"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2.9"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1253</v>
      </c>
      <c r="AB77" s="2380">
        <f>ROUND(IF(ISERROR((AB59/AB72)),0,(AB59/AB72)),0)</f>
        <v>9999036</v>
      </c>
      <c r="AC77" s="2380"/>
      <c r="AD77" s="2380"/>
      <c r="AE77" s="2380"/>
      <c r="AF77" s="2380"/>
    </row>
    <row r="78" spans="1:36" ht="12.9" customHeight="1">
      <c r="C78" s="404"/>
      <c r="D78" s="205" t="s">
        <v>1254</v>
      </c>
      <c r="AB78" s="2381">
        <f>ROUNDUP(MIN(Y69,AB77),0)</f>
        <v>9999036</v>
      </c>
      <c r="AC78" s="2382"/>
      <c r="AD78" s="2382"/>
      <c r="AE78" s="2382"/>
      <c r="AF78" s="2383"/>
    </row>
    <row r="79" spans="1:36" ht="12.9" customHeight="1">
      <c r="C79" s="404"/>
      <c r="D79" s="205" t="s">
        <v>1255</v>
      </c>
      <c r="AB79" s="2384">
        <f>AB78*AB72</f>
        <v>8138515.3714800002</v>
      </c>
      <c r="AC79" s="2384"/>
      <c r="AD79" s="2384"/>
      <c r="AE79" s="2384"/>
      <c r="AF79" s="2384"/>
    </row>
    <row r="80" spans="1:36" ht="12.9" customHeight="1">
      <c r="C80" s="404"/>
      <c r="D80" s="404"/>
      <c r="AB80" s="425"/>
      <c r="AC80" s="425"/>
      <c r="AD80" s="425"/>
      <c r="AE80" s="425"/>
      <c r="AF80" s="425"/>
    </row>
    <row r="81" spans="1:78" ht="12.9" customHeight="1">
      <c r="D81" s="404" t="s">
        <v>755</v>
      </c>
      <c r="AB81" s="2370">
        <f>AB49-(AB57+AB79)</f>
        <v>-0.37147999927401543</v>
      </c>
      <c r="AC81" s="2370"/>
      <c r="AD81" s="2370"/>
      <c r="AE81" s="2370"/>
      <c r="AF81" s="2370"/>
    </row>
    <row r="82" spans="1:78" ht="12.9" customHeight="1">
      <c r="F82" s="522"/>
      <c r="J82" s="522" t="str">
        <f>IF(AB81&gt;0,"FUNDING GAP MUST NOT EXCEED ZERO","")</f>
        <v/>
      </c>
    </row>
    <row r="83" spans="1:78" ht="12.9" customHeight="1">
      <c r="D83" s="523"/>
    </row>
    <row r="84" spans="1:78" ht="12.9"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2.9" customHeight="1" thickTop="1"/>
    <row r="86" spans="1:78" ht="12.9" customHeight="1">
      <c r="A86" s="404"/>
      <c r="C86" s="205"/>
    </row>
    <row r="87" spans="1:78" ht="12.9" customHeight="1">
      <c r="D87" s="205"/>
      <c r="AB87" s="2336"/>
      <c r="AC87" s="2336"/>
      <c r="AD87" s="2336"/>
      <c r="AE87" s="2336"/>
      <c r="AF87" s="2336"/>
    </row>
    <row r="88" spans="1:78" ht="12.9"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02" workbookViewId="0">
      <selection activeCell="T128" sqref="T128"/>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618" t="s">
        <v>1301</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1306</v>
      </c>
      <c r="AF7" s="2459"/>
      <c r="AG7" s="2459"/>
      <c r="AH7" s="2459"/>
      <c r="AI7" s="2459"/>
      <c r="AJ7" s="2459"/>
      <c r="AK7" s="2459"/>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592</v>
      </c>
      <c r="C13" s="261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592</v>
      </c>
      <c r="C16" s="2612"/>
      <c r="D16" s="547"/>
      <c r="E16" s="2604" t="s">
        <v>1308</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592</v>
      </c>
      <c r="C22" s="2612"/>
      <c r="D22" s="547"/>
      <c r="E22" s="2622" t="s">
        <v>1311</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592</v>
      </c>
      <c r="C25" s="2612"/>
      <c r="D25" s="547"/>
      <c r="E25" s="2539" t="s">
        <v>2035</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592</v>
      </c>
      <c r="C28" s="2612"/>
      <c r="D28" s="547"/>
      <c r="E28" s="2641" t="s">
        <v>2251</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12" t="s">
        <v>592</v>
      </c>
      <c r="C33" s="2612"/>
      <c r="D33" s="547"/>
      <c r="E33" s="2622" t="s">
        <v>2253</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592</v>
      </c>
      <c r="C36" s="2612"/>
      <c r="D36" s="547"/>
      <c r="E36" s="2539" t="s">
        <v>2254</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592</v>
      </c>
      <c r="C40" s="2612"/>
      <c r="D40" s="547"/>
      <c r="E40" s="2539" t="s">
        <v>2252</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592</v>
      </c>
      <c r="C45" s="2612"/>
      <c r="D45" s="1142"/>
      <c r="E45" s="2539" t="s">
        <v>2010</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592</v>
      </c>
      <c r="C52" s="2612"/>
      <c r="D52" s="540"/>
      <c r="E52" s="2539" t="s">
        <v>2015</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592</v>
      </c>
      <c r="C56" s="2612"/>
      <c r="D56" s="540"/>
      <c r="E56" s="2638" t="s">
        <v>2016</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592</v>
      </c>
      <c r="C58" s="2612"/>
      <c r="D58" s="540"/>
      <c r="E58" s="2539" t="s">
        <v>2017</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1315</v>
      </c>
      <c r="AF65" s="2459"/>
      <c r="AG65" s="2459"/>
      <c r="AH65" s="2459"/>
      <c r="AI65" s="2459"/>
      <c r="AJ65" s="2459"/>
      <c r="AK65" s="2459"/>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546</v>
      </c>
      <c r="C68" s="2612"/>
      <c r="D68" s="547" t="s">
        <v>1316</v>
      </c>
      <c r="E68" s="2604" t="s">
        <v>2018</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10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10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1317</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546</v>
      </c>
      <c r="C74" s="261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546</v>
      </c>
      <c r="F75" s="261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592</v>
      </c>
      <c r="F76" s="2633"/>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592</v>
      </c>
      <c r="F77" s="2633"/>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592</v>
      </c>
      <c r="F79" s="261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592</v>
      </c>
      <c r="C81" s="2612"/>
      <c r="D81" s="547" t="s">
        <v>1321</v>
      </c>
      <c r="E81" s="2539" t="s">
        <v>1741</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1306</v>
      </c>
      <c r="AF87" s="2459"/>
      <c r="AG87" s="2459"/>
      <c r="AH87" s="2459"/>
      <c r="AI87" s="2459"/>
      <c r="AJ87" s="2459"/>
      <c r="AK87" s="2459"/>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546</v>
      </c>
      <c r="C90" s="2612"/>
      <c r="D90" s="547" t="s">
        <v>1316</v>
      </c>
      <c r="E90" s="2604" t="s">
        <v>1326</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0.4408163265306122</v>
      </c>
      <c r="F93" s="2601"/>
      <c r="G93" s="2601"/>
      <c r="H93" s="2601"/>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0.14999999999999997</v>
      </c>
      <c r="F94" s="2406"/>
      <c r="G94" s="2406"/>
      <c r="H94" s="2406"/>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20</v>
      </c>
      <c r="F95" s="2617"/>
      <c r="G95" s="2617"/>
      <c r="H95" s="2617"/>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592</v>
      </c>
      <c r="C98" s="2612"/>
      <c r="D98" s="547" t="s">
        <v>1318</v>
      </c>
      <c r="E98" s="2604" t="s">
        <v>1726</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0.4408163265306122</v>
      </c>
      <c r="F103" s="2601"/>
      <c r="G103" s="2601"/>
      <c r="H103" s="2601"/>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0.26530612244897961</v>
      </c>
      <c r="F104" s="2601"/>
      <c r="G104" s="2601"/>
      <c r="H104" s="2601"/>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0.5714285714285714</v>
      </c>
      <c r="F105" s="2601"/>
      <c r="G105" s="2601"/>
      <c r="H105" s="2601"/>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5">
        <f>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1315</v>
      </c>
      <c r="AF112" s="2459"/>
      <c r="AG112" s="2459"/>
      <c r="AH112" s="2459"/>
      <c r="AI112" s="2459"/>
      <c r="AJ112" s="2459"/>
      <c r="AK112" s="2459"/>
      <c r="AL112" s="540"/>
      <c r="AM112" s="540"/>
      <c r="AN112" s="535"/>
      <c r="AO112" s="536" t="str">
        <f>Application!B718</f>
        <v>1 Bedroom</v>
      </c>
      <c r="AQ112" s="536">
        <f>Application!O718</f>
        <v>2125</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1754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1383</v>
      </c>
    </row>
    <row r="115" spans="1:52" s="536" customFormat="1" ht="12.75" customHeight="1">
      <c r="A115" s="540"/>
      <c r="B115" s="2612" t="s">
        <v>546</v>
      </c>
      <c r="C115" s="2612"/>
      <c r="D115" s="547" t="s">
        <v>1316</v>
      </c>
      <c r="E115" s="2604" t="s">
        <v>1859</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1 Bedroom</v>
      </c>
      <c r="AQ115" s="536">
        <f>Application!O721</f>
        <v>1012</v>
      </c>
      <c r="AU115" s="536" t="s">
        <v>1841</v>
      </c>
      <c r="AV115" s="595" t="s">
        <v>1842</v>
      </c>
      <c r="AW115" s="536" t="s">
        <v>1843</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2533</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2 Bedrooms</v>
      </c>
      <c r="AQ117" s="536">
        <f>Application!O723</f>
        <v>2088</v>
      </c>
      <c r="AU117" s="856" t="str">
        <f>J124</f>
        <v>1-bedroom</v>
      </c>
      <c r="AV117" s="536">
        <f t="array" ref="AV117">SUM(IF(Application!B718:F752="1 Bedroom",Application!G718:J752))</f>
        <v>22</v>
      </c>
      <c r="AW117" s="1011">
        <f>AV117/AV122</f>
        <v>0.44897959183673469</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2 Bedrooms</v>
      </c>
      <c r="AQ118" s="536">
        <f>Application!O724</f>
        <v>1643</v>
      </c>
      <c r="AU118" s="856" t="str">
        <f>O124</f>
        <v>2-bedroom</v>
      </c>
      <c r="AV118" s="536">
        <f t="array" ref="AV118">SUM(IF(Application!B718:F752="2 Bedrooms",Application!G718:J752))</f>
        <v>14</v>
      </c>
      <c r="AW118" s="1011">
        <f>AV118/AV122</f>
        <v>0.2857142857142857</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2 Bedrooms</v>
      </c>
      <c r="AQ119" s="536">
        <f>Application!O725</f>
        <v>1198</v>
      </c>
      <c r="AU119" s="856" t="str">
        <f>T124</f>
        <v>3-bedroom</v>
      </c>
      <c r="AV119" s="536">
        <f t="array" ref="AV119">SUM(IF(Application!B718:F752="3 Bedrooms",Application!G718:J752))</f>
        <v>13</v>
      </c>
      <c r="AW119" s="1011">
        <f>AV119/AV122</f>
        <v>0.26530612244897961</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t="str">
        <f>Application!B726</f>
        <v>3 Bedrooms</v>
      </c>
      <c r="AQ120" s="536">
        <f>Application!O726</f>
        <v>2908</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t="str">
        <f>Application!B727</f>
        <v>3 Bedrooms</v>
      </c>
      <c r="AQ121" s="536">
        <f>Application!O727</f>
        <v>2394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t="str">
        <f>Application!B728</f>
        <v>3 Bedrooms</v>
      </c>
      <c r="AQ122" s="536">
        <f>Application!O728</f>
        <v>1880</v>
      </c>
      <c r="AV122" s="536">
        <f>SUM(AV116:AV121)</f>
        <v>49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1365</v>
      </c>
    </row>
    <row r="124" spans="1:52" s="536" customFormat="1" ht="12.75" customHeight="1">
      <c r="A124" s="540"/>
      <c r="B124" s="539"/>
      <c r="C124" s="540"/>
      <c r="D124" s="540"/>
      <c r="E124" s="2600" t="s">
        <v>1589</v>
      </c>
      <c r="F124" s="2601"/>
      <c r="G124" s="2601"/>
      <c r="H124" s="2601"/>
      <c r="I124" s="577"/>
      <c r="J124" s="2601" t="s">
        <v>1632</v>
      </c>
      <c r="K124" s="2601"/>
      <c r="L124" s="2601"/>
      <c r="M124" s="2601"/>
      <c r="N124" s="577"/>
      <c r="O124" s="2601" t="s">
        <v>1633</v>
      </c>
      <c r="P124" s="2601"/>
      <c r="Q124" s="2601"/>
      <c r="R124" s="2601"/>
      <c r="S124" s="577"/>
      <c r="T124" s="2601" t="s">
        <v>1335</v>
      </c>
      <c r="U124" s="2601"/>
      <c r="V124" s="2601"/>
      <c r="W124" s="2601"/>
      <c r="X124" s="577"/>
      <c r="Y124" s="2601" t="s">
        <v>1634</v>
      </c>
      <c r="Z124" s="2601"/>
      <c r="AA124" s="2601"/>
      <c r="AB124" s="2601"/>
      <c r="AC124" s="577"/>
      <c r="AD124" s="2601" t="s">
        <v>1635</v>
      </c>
      <c r="AE124" s="2601"/>
      <c r="AF124" s="2601"/>
      <c r="AG124" s="2601"/>
      <c r="AH124" s="577"/>
      <c r="AI124" s="577"/>
      <c r="AJ124" s="579"/>
      <c r="AK124" s="540"/>
      <c r="AL124" s="540"/>
      <c r="AM124" s="540"/>
      <c r="AN124" s="535"/>
      <c r="AO124" s="536" t="str">
        <f>Application!B730</f>
        <v>1 Bedroom</v>
      </c>
      <c r="AQ124" s="536">
        <f>Application!O730</f>
        <v>1754</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1 Bedroom</v>
      </c>
      <c r="AQ125" s="536">
        <f>Application!O731</f>
        <v>1383</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1 Bedroom</v>
      </c>
      <c r="AQ126" s="536">
        <f>Application!O732</f>
        <v>1012</v>
      </c>
    </row>
    <row r="127" spans="1:52" s="536" customFormat="1" ht="12.75" customHeight="1">
      <c r="A127" s="540"/>
      <c r="B127" s="539"/>
      <c r="C127" s="540"/>
      <c r="D127" s="540"/>
      <c r="E127" s="2602"/>
      <c r="F127" s="2603"/>
      <c r="G127" s="2603"/>
      <c r="H127" s="2603"/>
      <c r="I127" s="864"/>
      <c r="J127" s="2603">
        <v>3188</v>
      </c>
      <c r="K127" s="2603"/>
      <c r="L127" s="2603"/>
      <c r="M127" s="2603"/>
      <c r="N127" s="864"/>
      <c r="O127" s="2603">
        <v>4464</v>
      </c>
      <c r="P127" s="2603"/>
      <c r="Q127" s="2603"/>
      <c r="R127" s="2603"/>
      <c r="S127" s="864"/>
      <c r="T127" s="2603">
        <v>4712</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t="str">
        <f>Application!B733</f>
        <v>2 Bedrooms</v>
      </c>
      <c r="AQ127" s="536">
        <f>Application!O733</f>
        <v>2088</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2 Bedrooms</v>
      </c>
      <c r="AQ128" s="536">
        <f>Application!O734</f>
        <v>1643</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t="str">
        <f>Application!B735</f>
        <v>2 Bedrooms</v>
      </c>
      <c r="AQ129" s="536">
        <f>Application!O735</f>
        <v>1198</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1517.909090909091</v>
      </c>
      <c r="K130" s="2611"/>
      <c r="L130" s="2611"/>
      <c r="M130" s="2611"/>
      <c r="N130" s="864"/>
      <c r="O130" s="2611">
        <f>Application!EH670</f>
        <v>1801.9285714285716</v>
      </c>
      <c r="P130" s="2611"/>
      <c r="Q130" s="2611"/>
      <c r="R130" s="2611"/>
      <c r="S130" s="868"/>
      <c r="T130" s="2611">
        <f>Application!EM670</f>
        <v>2156.5384615384614</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t="str">
        <f>Application!B736</f>
        <v>3 Bedrooms</v>
      </c>
      <c r="AQ130" s="536">
        <f>Application!O736</f>
        <v>2394</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t="str">
        <f>Application!B737</f>
        <v>3 Bedrooms</v>
      </c>
      <c r="AQ131" s="536">
        <f>Application!O737</f>
        <v>1880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t="str">
        <f>Application!B738</f>
        <v>3 Bedrooms</v>
      </c>
      <c r="AQ132" s="536">
        <f>Application!O738</f>
        <v>1365</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0.52386791376753739</v>
      </c>
      <c r="K133" s="2406"/>
      <c r="L133" s="2406"/>
      <c r="M133" s="2407"/>
      <c r="N133" s="577"/>
      <c r="O133" s="2405">
        <f>(O127-O130)/O127</f>
        <v>0.59634216589861744</v>
      </c>
      <c r="P133" s="2406"/>
      <c r="Q133" s="2406"/>
      <c r="R133" s="2407"/>
      <c r="S133" s="577"/>
      <c r="T133" s="2405">
        <f>(T127-T130)/T127</f>
        <v>0.54233054721170171</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0.1903080429160372</v>
      </c>
      <c r="K136" s="2614"/>
      <c r="L136" s="2614"/>
      <c r="M136" s="2615"/>
      <c r="N136" s="577"/>
      <c r="O136" s="2613">
        <f>IF(((O133-0.1)*AW118)&gt;0,((O133-0.1)*AW118),0)</f>
        <v>0.14181204739960498</v>
      </c>
      <c r="P136" s="2614"/>
      <c r="Q136" s="2614"/>
      <c r="R136" s="2615"/>
      <c r="S136" s="577"/>
      <c r="T136" s="2613">
        <f>IF(((T133-0.1)*AW119)&gt;0,((T133-0.1)*AW119),0)</f>
        <v>0.11735300232147189</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0.44</v>
      </c>
      <c r="F138" s="2406"/>
      <c r="G138" s="2406"/>
      <c r="H138" s="2407"/>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59" t="s">
        <v>1315</v>
      </c>
      <c r="AF146" s="2459"/>
      <c r="AG146" s="2459"/>
      <c r="AH146" s="2459"/>
      <c r="AI146" s="2459"/>
      <c r="AJ146" s="2459"/>
      <c r="AK146" s="2459"/>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1339</v>
      </c>
      <c r="AG148" s="2519"/>
      <c r="AH148" s="2519"/>
      <c r="AI148" s="2519"/>
      <c r="AJ148" s="2519"/>
      <c r="AK148" s="2519"/>
      <c r="AL148" s="251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2629</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0" t="s">
        <v>1342</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1342</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1" t="s">
        <v>592</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0" t="s">
        <v>1344</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2478</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2479</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2477</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592</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1353</v>
      </c>
      <c r="AG168" s="2519"/>
      <c r="AH168" s="2519"/>
      <c r="AI168" s="2519"/>
      <c r="AJ168" s="2519"/>
      <c r="AK168" s="2519"/>
      <c r="AL168" s="2519"/>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1351</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307</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592</v>
      </c>
      <c r="AG172" s="2391"/>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0" t="s">
        <v>1344</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1" t="str">
        <f>Application!AA335</f>
        <v>FPI Management, Inc.</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1315</v>
      </c>
      <c r="AF186" s="2459"/>
      <c r="AG186" s="2459"/>
      <c r="AH186" s="2459"/>
      <c r="AI186" s="2459"/>
      <c r="AJ186" s="2459"/>
      <c r="AK186" s="2459"/>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88" t="s">
        <v>1042</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1364</v>
      </c>
      <c r="AG188" s="2519"/>
      <c r="AH188" s="2519"/>
      <c r="AI188" s="2519"/>
      <c r="AJ188" s="2519"/>
      <c r="AK188" s="2519"/>
      <c r="AL188" s="2519"/>
      <c r="AN188" s="597"/>
      <c r="AP188" s="550" t="s">
        <v>1044</v>
      </c>
      <c r="AQ188" s="550">
        <v>10</v>
      </c>
    </row>
    <row r="189" spans="1:73" s="550" customFormat="1" ht="12.75" customHeight="1">
      <c r="A189" s="536"/>
      <c r="B189" s="2390" t="s">
        <v>1727</v>
      </c>
      <c r="C189" s="2390"/>
      <c r="D189" s="2390"/>
      <c r="E189" s="2390"/>
      <c r="F189" s="2390"/>
      <c r="G189" s="2390"/>
      <c r="H189" s="2390"/>
      <c r="I189" s="2390"/>
      <c r="J189" s="2390"/>
      <c r="K189" s="2390"/>
      <c r="L189" s="2390"/>
      <c r="M189" s="2390"/>
      <c r="N189" s="2390"/>
      <c r="O189" s="2390"/>
      <c r="P189" s="2390"/>
      <c r="Q189" s="2390"/>
      <c r="R189" s="2390"/>
      <c r="S189" s="2390"/>
      <c r="T189" s="2589" t="s">
        <v>592</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6">
        <f>IF(AK84&gt;0,VLOOKUP($B$188,AP185:AQ191,2,FALSE),0)</f>
        <v>10</v>
      </c>
      <c r="AL191" s="2427"/>
      <c r="AM191" s="2428"/>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1373</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2624</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2500000</v>
      </c>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1628</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9413211.828082405</v>
      </c>
      <c r="AE209" s="2570"/>
      <c r="AF209" s="2570"/>
      <c r="AG209" s="2570"/>
      <c r="AH209" s="2570"/>
      <c r="AI209" s="2570"/>
      <c r="AJ209" s="2570"/>
      <c r="AK209" s="610"/>
    </row>
    <row r="210" spans="1:37">
      <c r="A210" s="605"/>
      <c r="B210" s="2444" t="s">
        <v>1591</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6">
        <f>SUM(AD199:AJ209)-AD210</f>
        <v>11913211.828082405</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1608</v>
      </c>
      <c r="J222" s="2595"/>
      <c r="K222" s="2595"/>
      <c r="L222" s="536"/>
      <c r="M222" s="536"/>
      <c r="N222" s="536"/>
      <c r="O222" s="536"/>
      <c r="P222" s="536"/>
      <c r="Q222" s="536"/>
      <c r="R222" s="536"/>
      <c r="S222" s="536"/>
      <c r="T222" s="2410" t="s">
        <v>1602</v>
      </c>
      <c r="U222" s="2410"/>
      <c r="V222" s="2410"/>
      <c r="W222" s="2410"/>
      <c r="X222" s="2410"/>
      <c r="Y222" s="2410"/>
      <c r="Z222" s="849"/>
      <c r="AA222" s="489"/>
      <c r="AB222" s="2592" t="s">
        <v>1603</v>
      </c>
      <c r="AC222" s="2592"/>
      <c r="AD222" s="2592"/>
      <c r="AE222" s="2592"/>
      <c r="AF222" s="2592"/>
      <c r="AG222" s="2592"/>
      <c r="AH222" s="827"/>
      <c r="AI222" s="827"/>
      <c r="AJ222" s="827"/>
      <c r="AK222" s="610"/>
    </row>
    <row r="223" spans="1:37">
      <c r="A223" s="605"/>
      <c r="B223" s="2593" t="s">
        <v>1588</v>
      </c>
      <c r="C223" s="2593"/>
      <c r="D223" s="2593"/>
      <c r="E223" s="2593"/>
      <c r="F223" s="2593"/>
      <c r="G223" s="2593"/>
      <c r="I223" s="2594" t="s">
        <v>1609</v>
      </c>
      <c r="J223" s="2594"/>
      <c r="K223" s="2594"/>
      <c r="L223" s="1008"/>
      <c r="N223" s="2445" t="s">
        <v>1604</v>
      </c>
      <c r="O223" s="2445"/>
      <c r="P223" s="2445"/>
      <c r="Q223" s="2445"/>
      <c r="R223" s="2445"/>
      <c r="T223" s="2445" t="s">
        <v>1605</v>
      </c>
      <c r="U223" s="2445"/>
      <c r="V223" s="2445"/>
      <c r="W223" s="2445"/>
      <c r="X223" s="2445"/>
      <c r="Y223" s="2445"/>
      <c r="Z223" s="850"/>
      <c r="AA223" s="489"/>
      <c r="AB223" s="2460" t="s">
        <v>1606</v>
      </c>
      <c r="AC223" s="2460"/>
      <c r="AD223" s="2460"/>
      <c r="AE223" s="2460"/>
      <c r="AF223" s="2460"/>
      <c r="AG223" s="2460"/>
      <c r="AH223" s="827"/>
      <c r="AI223" s="827"/>
      <c r="AJ223" s="827"/>
      <c r="AK223" s="610"/>
    </row>
    <row r="224" spans="1:37">
      <c r="A224" s="605"/>
      <c r="B224" s="2461" t="s">
        <v>2630</v>
      </c>
      <c r="C224" s="2461"/>
      <c r="D224" s="2461"/>
      <c r="E224" s="2461"/>
      <c r="F224" s="2461"/>
      <c r="G224" s="2461"/>
      <c r="H224" s="852"/>
      <c r="I224" s="2414">
        <v>10</v>
      </c>
      <c r="J224" s="2414"/>
      <c r="K224" s="2414"/>
      <c r="L224" s="1008"/>
      <c r="N224" s="2412">
        <v>1358</v>
      </c>
      <c r="O224" s="2412"/>
      <c r="P224" s="2412"/>
      <c r="Q224" s="2412"/>
      <c r="R224" s="2412"/>
      <c r="T224" s="2411">
        <v>2878</v>
      </c>
      <c r="U224" s="2411"/>
      <c r="V224" s="2411"/>
      <c r="W224" s="2411"/>
      <c r="X224" s="2411"/>
      <c r="Y224" s="2411"/>
      <c r="Z224" s="851"/>
      <c r="AA224" s="851"/>
      <c r="AB224" s="2409">
        <f t="shared" ref="AB224:AB233" si="0">MAX(($T224-$N224)*$I224*12,0)</f>
        <v>182400</v>
      </c>
      <c r="AC224" s="2409"/>
      <c r="AD224" s="2409"/>
      <c r="AE224" s="2409"/>
      <c r="AF224" s="2409"/>
      <c r="AG224" s="2409"/>
      <c r="AH224" s="827"/>
      <c r="AI224" s="827"/>
      <c r="AJ224" s="827"/>
      <c r="AK224" s="610"/>
    </row>
    <row r="225" spans="1:37">
      <c r="A225" s="605"/>
      <c r="B225" s="2461" t="s">
        <v>2631</v>
      </c>
      <c r="C225" s="2461"/>
      <c r="D225" s="2461"/>
      <c r="E225" s="2461"/>
      <c r="F225" s="2461"/>
      <c r="G225" s="2461"/>
      <c r="I225" s="2414">
        <v>6</v>
      </c>
      <c r="J225" s="2414"/>
      <c r="K225" s="2414"/>
      <c r="L225" s="1008"/>
      <c r="N225" s="2412">
        <v>1630</v>
      </c>
      <c r="O225" s="2412"/>
      <c r="P225" s="2412"/>
      <c r="Q225" s="2412"/>
      <c r="R225" s="2412"/>
      <c r="T225" s="2411">
        <v>3786</v>
      </c>
      <c r="U225" s="2411"/>
      <c r="V225" s="2411"/>
      <c r="W225" s="2411"/>
      <c r="X225" s="2411"/>
      <c r="Y225" s="2411"/>
      <c r="Z225" s="851"/>
      <c r="AA225" s="851"/>
      <c r="AB225" s="2409">
        <f t="shared" si="0"/>
        <v>155232</v>
      </c>
      <c r="AC225" s="2409"/>
      <c r="AD225" s="2409"/>
      <c r="AE225" s="2409"/>
      <c r="AF225" s="2409"/>
      <c r="AG225" s="2409"/>
      <c r="AH225" s="827"/>
      <c r="AI225" s="827"/>
      <c r="AJ225" s="827"/>
      <c r="AK225" s="610"/>
    </row>
    <row r="226" spans="1:37">
      <c r="A226" s="605"/>
      <c r="B226" s="2461" t="s">
        <v>2632</v>
      </c>
      <c r="C226" s="2461"/>
      <c r="D226" s="2461"/>
      <c r="E226" s="2461"/>
      <c r="F226" s="2461"/>
      <c r="G226" s="2461"/>
      <c r="I226" s="2414">
        <v>4</v>
      </c>
      <c r="J226" s="2414"/>
      <c r="K226" s="2414"/>
      <c r="L226" s="1008"/>
      <c r="N226" s="2412">
        <v>1883</v>
      </c>
      <c r="O226" s="2412"/>
      <c r="P226" s="2412"/>
      <c r="Q226" s="2412"/>
      <c r="R226" s="2412"/>
      <c r="T226" s="2411">
        <v>5012</v>
      </c>
      <c r="U226" s="2411"/>
      <c r="V226" s="2411"/>
      <c r="W226" s="2411"/>
      <c r="X226" s="2411"/>
      <c r="Y226" s="2411"/>
      <c r="Z226" s="851"/>
      <c r="AA226" s="851"/>
      <c r="AB226" s="2409">
        <f t="shared" si="0"/>
        <v>150192</v>
      </c>
      <c r="AC226" s="2409"/>
      <c r="AD226" s="2409"/>
      <c r="AE226" s="2409"/>
      <c r="AF226" s="2409"/>
      <c r="AG226" s="2409"/>
      <c r="AH226" s="827"/>
      <c r="AI226" s="827"/>
      <c r="AJ226" s="827"/>
      <c r="AK226" s="610"/>
    </row>
    <row r="227" spans="1:37">
      <c r="A227" s="605"/>
      <c r="B227" s="2461" t="s">
        <v>1185</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1185</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1185</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1185</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1185</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1185</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1185</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09">
        <f>SUM(AB224:AB233)</f>
        <v>487824</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f>43635*12</f>
        <v>523620</v>
      </c>
      <c r="AC240" s="2446"/>
      <c r="AD240" s="2446"/>
      <c r="AE240" s="2446"/>
      <c r="AF240" s="2446"/>
      <c r="AG240" s="2446"/>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523620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1011444</v>
      </c>
      <c r="AC250" s="2409"/>
      <c r="AD250" s="2409"/>
      <c r="AE250" s="2409"/>
      <c r="AF250" s="2409"/>
      <c r="AG250" s="240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960871.8</v>
      </c>
      <c r="AC252" s="2581"/>
      <c r="AD252" s="2581"/>
      <c r="AE252" s="2581"/>
      <c r="AF252" s="2581"/>
      <c r="AG252" s="2581"/>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835540.69565217406</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9413211.828082405</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1.2931441700498491E-2</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11759156.823861867</v>
      </c>
      <c r="AH268" s="2423"/>
      <c r="AI268" s="2423"/>
      <c r="AJ268" s="2423"/>
      <c r="AK268" s="2423"/>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44289019</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0.53</v>
      </c>
      <c r="AH270" s="2569"/>
      <c r="AI270" s="2569"/>
      <c r="AJ270" s="2569"/>
      <c r="AK270" s="2569"/>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58">
        <f>IFERROR(IF(AG270=0,0,IF((AG270*100)&gt;8,8,(AG270*100))),0)</f>
        <v>8</v>
      </c>
      <c r="AL273" s="2558"/>
      <c r="AM273" s="2559"/>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40" t="s">
        <v>546</v>
      </c>
      <c r="D278" s="2440"/>
      <c r="E278" s="547"/>
      <c r="F278" s="2392" t="s">
        <v>2026</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1364</v>
      </c>
      <c r="AH278" s="2567"/>
      <c r="AI278" s="2567"/>
      <c r="AJ278" s="2567"/>
      <c r="AK278" s="550"/>
      <c r="AL278" s="550"/>
      <c r="AM278" s="550"/>
      <c r="AO278" s="550"/>
    </row>
    <row r="279" spans="1:52" ht="13.65"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65"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58">
        <f>IF($C$278="yes",10,0)</f>
        <v>10</v>
      </c>
      <c r="AL285" s="2558"/>
      <c r="AM285" s="2559"/>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4" t="s">
        <v>1383</v>
      </c>
      <c r="B292" s="1634"/>
      <c r="C292" s="2391" t="s">
        <v>546</v>
      </c>
      <c r="D292" s="2440"/>
      <c r="E292" s="547"/>
      <c r="F292" s="2560" t="s">
        <v>1384</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2019</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2027</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1385</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1386</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4" t="s">
        <v>1387</v>
      </c>
      <c r="B302" s="1634"/>
      <c r="C302" s="2440" t="s">
        <v>592</v>
      </c>
      <c r="D302" s="2440"/>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2" t="s">
        <v>2021</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4" t="s">
        <v>1390</v>
      </c>
      <c r="B310" s="1634"/>
      <c r="C310" s="2440" t="s">
        <v>592</v>
      </c>
      <c r="D310" s="2440"/>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18" t="s">
        <v>2028</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1185</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1185</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1" t="s">
        <v>1185</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1" t="s">
        <v>1185</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4" t="s">
        <v>1393</v>
      </c>
      <c r="B333" s="1634"/>
      <c r="C333" s="2440" t="s">
        <v>592</v>
      </c>
      <c r="D333" s="2440"/>
      <c r="E333" s="547"/>
      <c r="F333" s="2539" t="s">
        <v>2029</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59" t="s">
        <v>1315</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1455</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5"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2094</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2209</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1456</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2"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8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5</v>
      </c>
      <c r="AS357" s="539" t="s">
        <v>1457</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0</v>
      </c>
      <c r="AS359" s="539" t="s">
        <v>1458</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5</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582</v>
      </c>
      <c r="AP361" s="696">
        <f>IF(C407="Yes",5,0)</f>
        <v>0</v>
      </c>
      <c r="AS361" s="539" t="s">
        <v>1880</v>
      </c>
    </row>
    <row r="362" spans="1:46" s="550" customFormat="1" ht="12.75" customHeight="1">
      <c r="A362" s="603"/>
      <c r="B362" s="611"/>
      <c r="C362" s="2529" t="s">
        <v>2234</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0</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764</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585</v>
      </c>
      <c r="AP364" s="696">
        <f>IF(C421="Yes",5,0)</f>
        <v>0</v>
      </c>
    </row>
    <row r="365" spans="1:46" s="550" customFormat="1" ht="11.8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5"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227</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5" t="s">
        <v>1459</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457</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462</v>
      </c>
      <c r="AP370" s="696">
        <f>IF(C449="Yes",5,0)</f>
        <v>0</v>
      </c>
    </row>
    <row r="371" spans="1:81" s="550" customFormat="1" ht="68.099999999999994"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647</v>
      </c>
      <c r="AP371" s="701">
        <f>IF(C453="Yes",5,0)</f>
        <v>0</v>
      </c>
    </row>
    <row r="372" spans="1:81" s="550" customFormat="1" ht="12.45"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6">
        <f>Application!DU802-U374</f>
        <v>89</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8">
        <f>IF(AP375&gt;0,AP375,0)</f>
        <v>0</v>
      </c>
      <c r="AR375" s="2438"/>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29" t="s">
        <v>1461</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546</v>
      </c>
      <c r="D381" s="2440"/>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1463</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29" t="s">
        <v>1464</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592</v>
      </c>
      <c r="D389" s="2440"/>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1463</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29" t="s">
        <v>1466</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592</v>
      </c>
      <c r="D397" s="2440"/>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1468</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546</v>
      </c>
      <c r="D399" s="2440"/>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1463</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29" t="s">
        <v>1472</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592</v>
      </c>
      <c r="D407" s="2440"/>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1463</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592</v>
      </c>
      <c r="D409" s="2440"/>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1475</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592</v>
      </c>
      <c r="D412" s="2440"/>
      <c r="E412" s="715" t="s">
        <v>1476</v>
      </c>
      <c r="F412" s="2429" t="s">
        <v>1477</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1463</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29" t="s">
        <v>1479</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592</v>
      </c>
      <c r="D421" s="2440"/>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1463</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592</v>
      </c>
      <c r="D423" s="2440"/>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1475</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29" t="s">
        <v>1483</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5"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592</v>
      </c>
      <c r="D430" s="2440"/>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1463</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1485</v>
      </c>
      <c r="F433" s="2429" t="s">
        <v>1486</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592</v>
      </c>
      <c r="D442" s="2440"/>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1463</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29" t="s">
        <v>1489</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592</v>
      </c>
      <c r="D449" s="2440"/>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1463</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592</v>
      </c>
      <c r="D453" s="2556"/>
      <c r="E453" s="715" t="s">
        <v>1498</v>
      </c>
      <c r="F453" s="2429" t="s">
        <v>1499</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1463</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7"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592</v>
      </c>
      <c r="D457" s="2440"/>
      <c r="E457" s="715" t="s">
        <v>1504</v>
      </c>
      <c r="F457" s="2429" t="s">
        <v>1505</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1463</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29" t="s">
        <v>1508</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592</v>
      </c>
      <c r="D466" s="2440"/>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1463</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1" t="s">
        <v>1512</v>
      </c>
      <c r="AF472" s="2441"/>
      <c r="AG472" s="2441"/>
      <c r="AH472" s="2441"/>
      <c r="AI472" s="2441"/>
      <c r="AJ472" s="2441"/>
      <c r="AK472" s="2441"/>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48" t="s">
        <v>592</v>
      </c>
      <c r="D478" s="2449"/>
      <c r="E478" s="761" t="s">
        <v>508</v>
      </c>
      <c r="F478" s="2526" t="s">
        <v>1518</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4" t="s">
        <v>592</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5" t="s">
        <v>546</v>
      </c>
      <c r="D482" s="245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4" t="s">
        <v>592</v>
      </c>
      <c r="W485" s="2434"/>
      <c r="X485" s="2434"/>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4" t="s">
        <v>592</v>
      </c>
      <c r="W487" s="2434"/>
      <c r="X487" s="2434"/>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4" t="s">
        <v>592</v>
      </c>
      <c r="W492" s="2434"/>
      <c r="X492" s="2434"/>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3"/>
      <c r="E495" s="245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4" t="s">
        <v>592</v>
      </c>
      <c r="W496" s="2434"/>
      <c r="X496" s="2434"/>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4" t="s">
        <v>592</v>
      </c>
      <c r="W498" s="2434"/>
      <c r="X498" s="2434"/>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592</v>
      </c>
      <c r="D501" s="2449"/>
      <c r="E501" s="761" t="s">
        <v>508</v>
      </c>
      <c r="F501" s="2526" t="s">
        <v>1518</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592</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592</v>
      </c>
      <c r="D505" s="2449"/>
      <c r="E505" s="761" t="s">
        <v>758</v>
      </c>
      <c r="F505" s="2450" t="s">
        <v>1540</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592</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592</v>
      </c>
      <c r="D510" s="244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592</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592</v>
      </c>
      <c r="D515" s="2521"/>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592</v>
      </c>
      <c r="D519" s="2521"/>
      <c r="F519" s="795" t="s">
        <v>1548</v>
      </c>
      <c r="G519" s="2430" t="s">
        <v>1549</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592</v>
      </c>
      <c r="D523" s="2523"/>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592</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1561</v>
      </c>
      <c r="AF538" s="2459"/>
      <c r="AG538" s="2459"/>
      <c r="AH538" s="2459"/>
      <c r="AI538" s="2459"/>
      <c r="AJ538" s="2459"/>
      <c r="AK538" s="2459"/>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546</v>
      </c>
      <c r="D541" s="2440"/>
      <c r="E541" s="551"/>
      <c r="F541" s="2462" t="s">
        <v>1562</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546</v>
      </c>
      <c r="D544" s="2440"/>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1564</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1565</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27955226</v>
      </c>
      <c r="AQ550" s="2417"/>
      <c r="AR550" s="2417"/>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41303337</v>
      </c>
      <c r="AG551" s="2423"/>
      <c r="AH551" s="2423"/>
      <c r="AI551" s="2423"/>
      <c r="AJ551" s="2423"/>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62727822.799999997</v>
      </c>
      <c r="AG552" s="2424"/>
      <c r="AH552" s="2424"/>
      <c r="AI552" s="2424"/>
      <c r="AJ552" s="2424"/>
      <c r="AK552" s="595"/>
      <c r="AL552" s="595"/>
      <c r="AM552" s="595"/>
      <c r="AN552" s="597"/>
      <c r="AP552" s="2417">
        <f>Application!AJ1045</f>
        <v>15934478.819999998</v>
      </c>
      <c r="AQ552" s="2417"/>
      <c r="AR552" s="2417"/>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0.68</v>
      </c>
      <c r="AG553" s="2425"/>
      <c r="AH553" s="2425"/>
      <c r="AI553" s="2425"/>
      <c r="AJ553" s="2425"/>
      <c r="AK553" s="595"/>
      <c r="AL553" s="595"/>
      <c r="AM553" s="595"/>
      <c r="AN553" s="597"/>
      <c r="AP553" s="2413">
        <f>Application!AJ1049</f>
        <v>14536717.520000001</v>
      </c>
      <c r="AQ553" s="2413"/>
      <c r="AR553" s="2413"/>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0.8</v>
      </c>
      <c r="AQ554" s="2432"/>
      <c r="AR554" s="2432"/>
      <c r="AS554" s="550" t="s">
        <v>2173</v>
      </c>
    </row>
    <row r="555" spans="1:49" s="550" customFormat="1" ht="12.75" customHeight="1">
      <c r="A555" s="624"/>
      <c r="B555" s="2499" t="s">
        <v>2033</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40363642</v>
      </c>
      <c r="AQ556" s="2433"/>
      <c r="AR556" s="2433"/>
      <c r="AS556" s="550" t="s">
        <v>2175</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70834838.340000004</v>
      </c>
      <c r="AQ557" s="2417"/>
      <c r="AR557" s="2417"/>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08">
        <f>IFERROR(IF(AND(C541="N/A",C544="N/A"),0,IF(AF553=0,0,IF((AF553*100)&gt;12,12,(AF553*100)))),0)</f>
        <v>12</v>
      </c>
      <c r="AL559" s="2508"/>
      <c r="AM559" s="2509"/>
      <c r="AN559" s="597"/>
      <c r="AP559" s="2402">
        <f>AP556+(AP550*AP554)</f>
        <v>62727822.799999997</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1315</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2024</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1339</v>
      </c>
      <c r="AG578" s="2519"/>
      <c r="AH578" s="2519"/>
      <c r="AI578" s="2519"/>
      <c r="AJ578" s="2519"/>
      <c r="AK578" s="2519"/>
      <c r="AL578" s="2519"/>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1397</v>
      </c>
      <c r="AG585" s="2519"/>
      <c r="AH585" s="2519"/>
      <c r="AI585" s="2519"/>
      <c r="AJ585" s="2519"/>
      <c r="AK585" s="2519"/>
      <c r="AL585" s="2519"/>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1379</v>
      </c>
      <c r="AG591" s="2519"/>
      <c r="AH591" s="2519"/>
      <c r="AI591" s="2519"/>
      <c r="AJ591" s="2519"/>
      <c r="AK591" s="2519"/>
      <c r="AL591" s="2519"/>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1400</v>
      </c>
      <c r="AG597" s="2519"/>
      <c r="AH597" s="2519"/>
      <c r="AI597" s="2519"/>
      <c r="AJ597" s="2519"/>
      <c r="AK597" s="2519"/>
      <c r="AL597" s="2519"/>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5" t="s">
        <v>1185</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1353</v>
      </c>
      <c r="AG603" s="2519"/>
      <c r="AH603" s="2519"/>
      <c r="AI603" s="2519"/>
      <c r="AJ603" s="2519"/>
      <c r="AK603" s="2519"/>
      <c r="AL603" s="2519"/>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3" t="s">
        <v>688</v>
      </c>
      <c r="I606" s="2443"/>
      <c r="J606" s="936"/>
      <c r="K606" s="936"/>
      <c r="L606" s="936"/>
      <c r="N606" s="22"/>
      <c r="O606" s="22"/>
      <c r="P606" s="22"/>
      <c r="Q606" s="1151" t="s">
        <v>2178</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4" t="s">
        <v>592</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1" t="s">
        <v>592</v>
      </c>
      <c r="C616" s="2391"/>
      <c r="D616" s="642"/>
      <c r="E616" s="2419" t="s">
        <v>1404</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6">
        <f>VLOOKUP($H$606,$AO$586:$AP$591,2,FALSE)+IF(R606=AO594,0,VLOOKUP($I$614,$AO$613:$AP$615,2,FALSE))</f>
        <v>7</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3" t="s">
        <v>1695</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1353</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1" t="s">
        <v>592</v>
      </c>
      <c r="Y634" s="239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1409</v>
      </c>
      <c r="AG636" s="2519"/>
      <c r="AH636" s="2519"/>
      <c r="AI636" s="2519"/>
      <c r="AJ636" s="2519"/>
      <c r="AK636" s="2519"/>
      <c r="AL636" s="251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3" t="s">
        <v>688</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6">
        <f>VLOOKUP($H$638,$AO$605:$AP$607,2,FALSE)</f>
        <v>3</v>
      </c>
      <c r="AK640" s="2428"/>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19" t="s">
        <v>2099</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1353</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1409</v>
      </c>
      <c r="AG647" s="2519"/>
      <c r="AH647" s="2519"/>
      <c r="AI647" s="2519"/>
      <c r="AJ647" s="2519"/>
      <c r="AK647" s="2519"/>
      <c r="AL647" s="2519"/>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3" t="s">
        <v>688</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6">
        <f>VLOOKUP(H650,AT605:AU607,2,FALSE)</f>
        <v>3</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19" t="s">
        <v>1419</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1379</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19" t="s">
        <v>1420</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1400</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9" t="s">
        <v>1421</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1353</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592</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19" t="s">
        <v>1422</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1400</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19" t="s">
        <v>1423</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1353</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19" t="s">
        <v>1424</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1409</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19" t="s">
        <v>1425</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1426</v>
      </c>
      <c r="AG681" s="2519"/>
      <c r="AH681" s="2519"/>
      <c r="AI681" s="2519"/>
      <c r="AJ681" s="2519"/>
      <c r="AK681" s="2519"/>
      <c r="AL681" s="2519"/>
      <c r="AM681" s="596"/>
      <c r="AN681" s="597"/>
      <c r="AO681" s="611" t="s">
        <v>688</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3" t="s">
        <v>1399</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6">
        <f>VLOOKUP($H$685,$AO$633:$AP$640,2,FALSE)</f>
        <v>3</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49</v>
      </c>
    </row>
    <row r="691" spans="1:51" s="550" customFormat="1" ht="12.75" customHeight="1">
      <c r="A691" s="679"/>
      <c r="B691" s="536"/>
      <c r="C691" s="948"/>
      <c r="D691" s="663" t="s">
        <v>688</v>
      </c>
      <c r="E691" s="2389" t="s">
        <v>2191</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1353</v>
      </c>
      <c r="AG691" s="2519"/>
      <c r="AH691" s="2519"/>
      <c r="AI691" s="2519"/>
      <c r="AJ691" s="2519"/>
      <c r="AK691" s="2519"/>
      <c r="AL691" s="2519"/>
      <c r="AN691" s="597"/>
      <c r="AW691" s="22" t="s">
        <v>2186</v>
      </c>
      <c r="AX691" s="550">
        <f>Application!DE753</f>
        <v>13</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19" t="s">
        <v>2135</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1353</v>
      </c>
      <c r="AG694" s="2519"/>
      <c r="AH694" s="2519"/>
      <c r="AI694" s="2519"/>
      <c r="AJ694" s="2519"/>
      <c r="AK694" s="2519"/>
      <c r="AL694" s="2519"/>
      <c r="AN694" s="597"/>
      <c r="AW694" s="22" t="s">
        <v>2189</v>
      </c>
      <c r="AX694" s="550">
        <f>AX691+AX692+AX693</f>
        <v>13</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2190</v>
      </c>
      <c r="AX695" s="550">
        <f>IFERROR(AX694/AX690,0)</f>
        <v>0.26530612244897961</v>
      </c>
      <c r="AY695" s="550">
        <f>IFERROR(AX694/(AX690-AX689),0)</f>
        <v>0.26530612244897961</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19" t="s">
        <v>2136</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1409</v>
      </c>
      <c r="AG699" s="2519"/>
      <c r="AH699" s="2519"/>
      <c r="AI699" s="2519"/>
      <c r="AJ699" s="2519"/>
      <c r="AK699" s="2519"/>
      <c r="AL699" s="2519"/>
      <c r="AN699" s="597"/>
      <c r="AO699" s="611" t="s">
        <v>510</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2.9"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19" t="s">
        <v>1694</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3" t="s">
        <v>510</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6">
        <f>VLOOKUP($H$709,$AO$703:$AP$706,2,FALSE)</f>
        <v>3</v>
      </c>
      <c r="AK711" s="2428"/>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1" t="s">
        <v>1696</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1353</v>
      </c>
      <c r="AG715" s="2519"/>
      <c r="AH715" s="2519"/>
      <c r="AI715" s="2519"/>
      <c r="AJ715" s="2519"/>
      <c r="AK715" s="2519"/>
      <c r="AL715" s="2519"/>
      <c r="AM715" s="550"/>
      <c r="AN715" s="684"/>
      <c r="AP715" s="570" t="s">
        <v>1433</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1434</v>
      </c>
    </row>
    <row r="717" spans="1:43" s="570" customFormat="1" ht="13.95"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1435</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5" customHeight="1">
      <c r="A719" s="550"/>
      <c r="B719" s="536"/>
      <c r="C719" s="931"/>
      <c r="D719" s="663" t="s">
        <v>510</v>
      </c>
      <c r="E719" s="2532" t="s">
        <v>1436</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1409</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5"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5" customHeight="1">
      <c r="A723" s="550"/>
      <c r="B723" s="536"/>
      <c r="C723" s="933"/>
      <c r="D723" s="536" t="s">
        <v>1401</v>
      </c>
      <c r="E723" s="936"/>
      <c r="F723" s="936"/>
      <c r="G723" s="936"/>
      <c r="H723" s="2443" t="s">
        <v>592</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19" t="s">
        <v>1697</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1353</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19" t="s">
        <v>1440</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1409</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3" t="s">
        <v>592</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19" t="s">
        <v>1443</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1353</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19" t="s">
        <v>1444</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1409</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3" t="s">
        <v>688</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6">
        <f>VLOOKUP($H$751,$AO$680:$AP$682,2,FALSE)</f>
        <v>3</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19" t="s">
        <v>1446</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1409</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19" t="s">
        <v>1447</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1426</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3" t="s">
        <v>688</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6">
        <f>VLOOKUP($H$763,$AO$697:$AP$699,2,FALSE)</f>
        <v>2</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688</v>
      </c>
      <c r="E769" s="2419" t="s">
        <v>1693</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1409</v>
      </c>
      <c r="AG769" s="2519"/>
      <c r="AH769" s="2519"/>
      <c r="AI769" s="2519"/>
      <c r="AJ769" s="2519"/>
      <c r="AK769" s="2519"/>
      <c r="AL769" s="2519"/>
      <c r="AM769" s="613"/>
      <c r="AN769" s="684"/>
      <c r="AO769" s="550" t="s">
        <v>592</v>
      </c>
      <c r="AP769" s="673">
        <v>0</v>
      </c>
    </row>
    <row r="770" spans="1:81" s="570" customFormat="1" ht="13.65"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0" t="s">
        <v>1698</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1353</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3" t="s">
        <v>592</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688</v>
      </c>
      <c r="E785" s="2419" t="s">
        <v>2034</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1353</v>
      </c>
      <c r="AG785" s="2519"/>
      <c r="AH785" s="2519"/>
      <c r="AI785" s="2519"/>
      <c r="AJ785" s="2519"/>
      <c r="AK785" s="2519"/>
      <c r="AL785" s="2519"/>
      <c r="AM785" s="613"/>
      <c r="AN785" s="684"/>
      <c r="AO785" s="611" t="s">
        <v>546</v>
      </c>
      <c r="AP785" s="550">
        <v>3</v>
      </c>
      <c r="AT785" s="674"/>
      <c r="AU785" s="674"/>
      <c r="AV785" s="674"/>
      <c r="AW785" s="674"/>
      <c r="AX785" s="674"/>
      <c r="AY785" s="674"/>
      <c r="AZ785" s="674"/>
    </row>
    <row r="786" spans="1:81" s="570" customFormat="1" ht="13.65"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3" t="s">
        <v>546</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6">
        <f>VLOOKUP($H$790,$AO$784:$AP$785,2,FALSE)</f>
        <v>3</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1569</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1570</v>
      </c>
      <c r="U802" s="2514"/>
      <c r="V802" s="2514"/>
      <c r="W802" s="2514"/>
      <c r="X802" s="2514"/>
      <c r="Y802" s="2515"/>
      <c r="Z802" s="2513" t="s">
        <v>1571</v>
      </c>
      <c r="AA802" s="2514"/>
      <c r="AB802" s="2514"/>
      <c r="AC802" s="2514"/>
      <c r="AD802" s="2514"/>
      <c r="AE802" s="2515"/>
      <c r="AF802" s="2513" t="s">
        <v>1572</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758</v>
      </c>
      <c r="B804" s="2470" t="s">
        <v>1305</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1542</v>
      </c>
      <c r="B805" s="2470" t="s">
        <v>1314</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1551</v>
      </c>
      <c r="B806" s="2470" t="s">
        <v>1324</v>
      </c>
      <c r="C806" s="2470"/>
      <c r="D806" s="2470"/>
      <c r="E806" s="2470"/>
      <c r="F806" s="2470"/>
      <c r="G806" s="2470"/>
      <c r="H806" s="2470"/>
      <c r="I806" s="2470"/>
      <c r="J806" s="2470"/>
      <c r="K806" s="2470"/>
      <c r="L806" s="2470"/>
      <c r="M806" s="2470"/>
      <c r="N806" s="2470"/>
      <c r="O806" s="2470"/>
      <c r="P806" s="2470"/>
      <c r="Q806" s="2470"/>
      <c r="R806" s="2470"/>
      <c r="S806" s="2471"/>
      <c r="T806" s="2498">
        <f>AK109</f>
        <v>20</v>
      </c>
      <c r="U806" s="2474"/>
      <c r="V806" s="2474"/>
      <c r="W806" s="2474"/>
      <c r="X806" s="2474"/>
      <c r="Y806" s="2475"/>
      <c r="Z806" s="2473">
        <v>20</v>
      </c>
      <c r="AA806" s="2474"/>
      <c r="AB806" s="2474"/>
      <c r="AC806" s="2474"/>
      <c r="AD806" s="2474"/>
      <c r="AE806" s="2475"/>
      <c r="AF806" s="2438">
        <f>IF(T806&gt;Z806,Z806,T806)</f>
        <v>20</v>
      </c>
      <c r="AG806" s="2438"/>
      <c r="AH806" s="2438"/>
      <c r="AI806" s="2438"/>
      <c r="AJ806" s="2438"/>
      <c r="AK806" s="2438"/>
      <c r="AL806" s="818"/>
      <c r="AM806" s="596"/>
      <c r="AO806" s="816"/>
      <c r="AP806" s="816"/>
      <c r="AQ806" s="816"/>
    </row>
    <row r="807" spans="1:81">
      <c r="A807" s="819" t="s">
        <v>1573</v>
      </c>
      <c r="B807" s="2470" t="s">
        <v>1334</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1574</v>
      </c>
      <c r="B808" s="2470" t="s">
        <v>1575</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1576</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1577</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1362</v>
      </c>
      <c r="B811" s="2470" t="s">
        <v>1578</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1371</v>
      </c>
      <c r="B812" s="2470" t="s">
        <v>1372</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590</v>
      </c>
      <c r="B813" s="2470" t="s">
        <v>1579</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70" t="s">
        <v>1580</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70" t="s">
        <v>1382</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70" t="s">
        <v>846</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70" t="s">
        <v>1560</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70" t="s">
        <v>1582</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1583</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1584</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86" t="s">
        <v>1585</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Navarrette, DC</cp:lastModifiedBy>
  <cp:lastPrinted>2025-05-17T07:55:37Z</cp:lastPrinted>
  <dcterms:created xsi:type="dcterms:W3CDTF">2007-12-27T18:26:28Z</dcterms:created>
  <dcterms:modified xsi:type="dcterms:W3CDTF">2025-05-30T19:17:25Z</dcterms:modified>
</cp:coreProperties>
</file>